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160" windowHeight="1065" firstSheet="21" activeTab="27"/>
  </bookViews>
  <sheets>
    <sheet name="กระดาษทการ" sheetId="1" r:id="rId1"/>
    <sheet name="รับ-จ่าย" sheetId="2" r:id="rId2"/>
    <sheet name="หลังปิดบัญชี" sheetId="3" r:id="rId3"/>
    <sheet name="งบทดลอง" sheetId="4" r:id="rId4"/>
    <sheet name="เงินรับฝาก" sheetId="5" r:id="rId5"/>
    <sheet name="รายรับจ่ายประกอบ" sheetId="6" r:id="rId6"/>
    <sheet name="รายรับจริง" sheetId="7" r:id="rId7"/>
    <sheet name="บริหาร" sheetId="8" r:id="rId8"/>
    <sheet name="ศึกษา" sheetId="9" r:id="rId9"/>
    <sheet name="ศาสนา" sheetId="10" r:id="rId10"/>
    <sheet name="เกษตร" sheetId="11" r:id="rId11"/>
    <sheet name="งบกลาง" sheetId="12" r:id="rId12"/>
    <sheet name="สงบภายใน" sheetId="13" r:id="rId13"/>
    <sheet name="สาธารณสุข" sheetId="14" r:id="rId14"/>
    <sheet name="สงเคราะห์" sheetId="15" r:id="rId15"/>
    <sheet name="เคหะ" sheetId="16" r:id="rId16"/>
    <sheet name="เข้มแข็ง" sheetId="17" r:id="rId17"/>
    <sheet name="อุตสา" sheetId="18" r:id="rId18"/>
    <sheet name="รายจ่าย" sheetId="19" r:id="rId19"/>
    <sheet name="เงินรายรับ" sheetId="20" r:id="rId20"/>
    <sheet name="รับ-จ่ายจริง" sheetId="21" r:id="rId21"/>
    <sheet name="อุดหนุน" sheetId="22" r:id="rId22"/>
    <sheet name="งบทรัพย์สิน" sheetId="23" r:id="rId23"/>
    <sheet name="งบแสดงฐานะการเงิน" sheetId="24" r:id="rId24"/>
    <sheet name="อปท1.1" sheetId="25" r:id="rId25"/>
    <sheet name="อปท1.2" sheetId="26" r:id="rId26"/>
    <sheet name="อปท 2" sheetId="27" r:id="rId27"/>
    <sheet name="อปท3" sheetId="28" r:id="rId28"/>
  </sheets>
  <definedNames>
    <definedName name="_xlnm.Print_Area" localSheetId="3">'งบทดลอง'!$A$1:$I$107</definedName>
    <definedName name="_xlnm.Print_Area" localSheetId="4">'เงินรับฝาก'!$A$1:$K$161</definedName>
    <definedName name="_xlnm.Print_Area" localSheetId="6">'รายรับจริง'!$A$1:$M$126</definedName>
    <definedName name="_xlnm.Print_Area" localSheetId="5">'รายรับจ่ายประกอบ'!$A$1:$P$141</definedName>
    <definedName name="_xlnm.Print_Area" localSheetId="9">'ศาสนา'!$A$1:$J$25</definedName>
    <definedName name="_xlnm.Print_Area" localSheetId="25">'อปท1.2'!$A$1:$E$44</definedName>
    <definedName name="_xlnm.Print_Area" localSheetId="27">'อปท3'!$A$1:$F$28</definedName>
    <definedName name="_xlnm.Print_Area" localSheetId="21">'อุดหนุน'!$A$1:$D$28</definedName>
    <definedName name="Z_B4B706D8_7A00_488D_8A99_A6E58DC90995_.wvu.Cols" localSheetId="6" hidden="1">'รายรับจริง'!#REF!</definedName>
    <definedName name="Z_B4B706D8_7A00_488D_8A99_A6E58DC90995_.wvu.PrintArea" localSheetId="3" hidden="1">'งบทดลอง'!$A$1:$I$107</definedName>
    <definedName name="Z_B4B706D8_7A00_488D_8A99_A6E58DC90995_.wvu.PrintArea" localSheetId="4" hidden="1">'เงินรับฝาก'!$A$1:$O$116</definedName>
    <definedName name="Z_B4B706D8_7A00_488D_8A99_A6E58DC90995_.wvu.PrintArea" localSheetId="5" hidden="1">'รายรับจ่ายประกอบ'!$A$1:$P$46</definedName>
  </definedNames>
  <calcPr fullCalcOnLoad="1"/>
</workbook>
</file>

<file path=xl/sharedStrings.xml><?xml version="1.0" encoding="utf-8"?>
<sst xmlns="http://schemas.openxmlformats.org/spreadsheetml/2006/main" count="1712" uniqueCount="740">
  <si>
    <t>รายละเอียด  ประกอบงบทดลองและรายงานรับ - จ่ายเงินสด</t>
  </si>
  <si>
    <t>ยอดยกมา</t>
  </si>
  <si>
    <t>รับ</t>
  </si>
  <si>
    <t>จ่าย</t>
  </si>
  <si>
    <t>คงเหลือ</t>
  </si>
  <si>
    <t>ภาษีหัก ณ  ที่จ่าย</t>
  </si>
  <si>
    <t>เงินประกันสัญญา</t>
  </si>
  <si>
    <t>ค่าใช้จ่ายภาษีบำรุงท้องที่  5%</t>
  </si>
  <si>
    <t>ส่วนลดภาษีบำรุงท้องที่  6%</t>
  </si>
  <si>
    <t>รวม</t>
  </si>
  <si>
    <t>จำนวนเงิน</t>
  </si>
  <si>
    <t>หัวหน้าส่วนการคลัง</t>
  </si>
  <si>
    <t>ปลัดองค์การบริหารส่วนตำบล</t>
  </si>
  <si>
    <t>งบกระทบยอดเงินฝากธนาคาร</t>
  </si>
  <si>
    <t>บาท</t>
  </si>
  <si>
    <t>บวก  :   ฝากระหว่างทาง</t>
  </si>
  <si>
    <t>วันที่ลงบัญชี</t>
  </si>
  <si>
    <t>วันที่ฝากธนาคาร</t>
  </si>
  <si>
    <t>………………………..</t>
  </si>
  <si>
    <t>หัก :  เช็คจ่ายที่ผู้รับยังไม่นำมาขึ้นเงินกับธนาคาร</t>
  </si>
  <si>
    <t>วันที่</t>
  </si>
  <si>
    <t>เลขที่เช็ค</t>
  </si>
  <si>
    <t>บวก  :  หรือ  ( หัก )  รายการกระทบยอดอื่น ๆ</t>
  </si>
  <si>
    <t>รายละเอียด</t>
  </si>
  <si>
    <t>ผู้จัดทำ</t>
  </si>
  <si>
    <t>ผู้ตรวจสอบ</t>
  </si>
  <si>
    <t>รายการ</t>
  </si>
  <si>
    <t>รหัสบัญชี</t>
  </si>
  <si>
    <t>งบทดลอง</t>
  </si>
  <si>
    <t>เดบิท</t>
  </si>
  <si>
    <t>เครดิต</t>
  </si>
  <si>
    <t>เงินสด</t>
  </si>
  <si>
    <t>010</t>
  </si>
  <si>
    <t>022</t>
  </si>
  <si>
    <t>ลูกหนี้เงินยืมเงินงบประมาณ</t>
  </si>
  <si>
    <t>090</t>
  </si>
  <si>
    <t>ลูกหนี้เงินยืมเงินสะสม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</si>
  <si>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</si>
  <si>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</si>
  <si>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</si>
  <si>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</si>
  <si>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</si>
  <si>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</si>
  <si>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</si>
  <si>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 xml:space="preserve">เงินอุดหนุน   </t>
  </si>
  <si>
    <t>ค่าครุภัณฑ์</t>
  </si>
  <si>
    <t>ค่าที่ดินและสิ่งก่อสร้าง</t>
  </si>
  <si>
    <t>เงินงบกลาง</t>
  </si>
  <si>
    <t>เงินสะสม</t>
  </si>
  <si>
    <t>สำรองเงินรายรับ</t>
  </si>
  <si>
    <t>เงินรับฝาก (หมายเหตุ 2)</t>
  </si>
  <si>
    <t>เงินทุนสำรองเงินสะสม</t>
  </si>
  <si>
    <t>รายรับจริงประกอบงบทดลองและรายงานรับ - จ่ายเงินสด</t>
  </si>
  <si>
    <t>ประมาณการ</t>
  </si>
  <si>
    <t>รายรับจริง</t>
  </si>
  <si>
    <t>รายได้จัดเก็บเอง</t>
  </si>
  <si>
    <t>หมวดภาษีอากร</t>
  </si>
  <si>
    <t>0100</t>
  </si>
  <si>
    <t>(1)  ภาษีโรงเรือนและที่ดิน</t>
  </si>
  <si>
    <t>0101</t>
  </si>
  <si>
    <t>(2)  ภาษีบำรุงท้องที่</t>
  </si>
  <si>
    <t>0102</t>
  </si>
  <si>
    <t>(3)  ภาษีป้าย</t>
  </si>
  <si>
    <t>0103</t>
  </si>
  <si>
    <t>(4)  อากรการฆ่าสัตว์</t>
  </si>
  <si>
    <t>0104</t>
  </si>
  <si>
    <t>(5)  ภาษีบำรุง อบจ. จากสถานค้าปลีกยาสูบ</t>
  </si>
  <si>
    <t>0105</t>
  </si>
  <si>
    <t>(6)  ภาษีบำรุง  อบจ.จากสถานค้าปลีกน้ำมัน</t>
  </si>
  <si>
    <t>0106</t>
  </si>
  <si>
    <t xml:space="preserve">           รวม</t>
  </si>
  <si>
    <t>หมวดค่าธรรมเนียม  ค่าปรับและใบอนุญาต</t>
  </si>
  <si>
    <t>0120</t>
  </si>
  <si>
    <t>(1)   ค่าธรรมเนียมเกี่ยวกับควบคุมการฆ่าสัตว์และจำหน่ายเนื้อสัตว์</t>
  </si>
  <si>
    <t>0121</t>
  </si>
  <si>
    <t>(2)   ค่าธรรมเนียมเกี่ยวกับใบอนุญาตการขายสุรา</t>
  </si>
  <si>
    <t>0122</t>
  </si>
  <si>
    <t>(3)   ค่าธรรมเนียมเกี่ยวกับใบอนุญาตการพนัน</t>
  </si>
  <si>
    <t>0123</t>
  </si>
  <si>
    <t>(4)   ค่าธรรมเนียมเกี่ยวกับการจัดระเบียบจอดยานยนต์</t>
  </si>
  <si>
    <t>0124</t>
  </si>
  <si>
    <t>(5)   ค่าธรรมเนียมเกี่ยวกับการควบคุมอาคาร</t>
  </si>
  <si>
    <t>0125</t>
  </si>
  <si>
    <t>(6)  ค่าธรรมเนียมเก็บและขนมูลฝอย</t>
  </si>
  <si>
    <t>0126</t>
  </si>
  <si>
    <t>(7)   ค่าธรรมเนียมเก็บและขนอุจจาระหรือสิ่งปฏิกูล</t>
  </si>
  <si>
    <t>0127</t>
  </si>
  <si>
    <t>(8)   ค่าธรรมเนียมในการออกหนังสือรับรองการแจ้งการจัดตั้ง</t>
  </si>
  <si>
    <t>0128</t>
  </si>
  <si>
    <t xml:space="preserve">        สถานที่จำหน่ายอาหารหรือสถานที่สะสมอาหารในอาคารหรือ</t>
  </si>
  <si>
    <t xml:space="preserve">         พื้นที่ใด ซึ่งมีพื้นที่ไม่เกิน  200  ตารางเมตร</t>
  </si>
  <si>
    <t>(9)   ค่าธรรมเนียมเกี่ยวกับสุสานและฌาปนสถาน</t>
  </si>
  <si>
    <t>0129</t>
  </si>
  <si>
    <t>(10) ค่าธรรมเนียมปิดแผ่นป้ายประกาศ  หรือเขียนข้อความ หรือ</t>
  </si>
  <si>
    <t>0130</t>
  </si>
  <si>
    <t xml:space="preserve">        ภาพ  ติดตั้ง  เขียนป้าย หรือเอกสาร  หรือทิ้ง  หรือโปรยแผ่น</t>
  </si>
  <si>
    <t xml:space="preserve">         ประกาศเพื่อโฆษณาแก่ประชาชน</t>
  </si>
  <si>
    <t>(11)  ค่าธรรมเนียมเกี่ยวกับการทะเบียนราษฎร</t>
  </si>
  <si>
    <t>(12)  ค่าธรรมเนียมเกี่ยวกับบัตรประจำตัวประชาชน</t>
  </si>
  <si>
    <t>0132</t>
  </si>
  <si>
    <t>(13)  ค่าธรรมเนียมเกี่ยวกับโรคพิษสุนัขบ้า</t>
  </si>
  <si>
    <t>0133</t>
  </si>
  <si>
    <t>(14)  ค่าธรรมเนียมเกี่ยวกับการส่งเสริมและรักษาคุณภาพสิ่งแวดล้อม</t>
  </si>
  <si>
    <t>0134</t>
  </si>
  <si>
    <t xml:space="preserve">          แห่งชาติ</t>
  </si>
  <si>
    <t>(15)  ค่าธรรมเนียมบำรุง  อบจ.  จากผู้เข้าพักในโรงแรม</t>
  </si>
  <si>
    <t>0135</t>
  </si>
  <si>
    <t>(16)  ค่าปรับผู้กระทำผิดกฎหมายการจัดระเบียบจอดยานยนต์</t>
  </si>
  <si>
    <t>0136</t>
  </si>
  <si>
    <t>(17)  ค่าปรับผู้กระทำผิดกฎหมายจราจรทางบก</t>
  </si>
  <si>
    <t>0137</t>
  </si>
  <si>
    <t>(18)  ค่าปรับผู้กระทำผิดกฏหมายการป้องกันและระงับอัคคีภัย</t>
  </si>
  <si>
    <t>0138</t>
  </si>
  <si>
    <t>(19)  ค่าปรับผู้กระทำผิดกฎหมายและข้อบังคับท้องถิ่น</t>
  </si>
  <si>
    <t>0139</t>
  </si>
  <si>
    <t>(20)  ค่าปรับการผิดสัญญา</t>
  </si>
  <si>
    <t>0140</t>
  </si>
  <si>
    <t>(21)  ค่าปรับอื่น ๆ</t>
  </si>
  <si>
    <t>0141</t>
  </si>
  <si>
    <t>(22)  ค่าใบอนุญาตรับทำการเก็บ  ขน  หรือกำจัด  สิ่งปฏิกูลหรือ</t>
  </si>
  <si>
    <t>0142</t>
  </si>
  <si>
    <t xml:space="preserve">          มูลฝอย  และประกอบกิจการโรงสี</t>
  </si>
  <si>
    <t>(23)  ค่าใบอนุญาตจัดตั้งตลาด</t>
  </si>
  <si>
    <t>0143</t>
  </si>
  <si>
    <t>(24)  ค่าใบอนุญาตจัดตั้งสถานที่จำหน่ายอาหารหรือสถานที่สะสม</t>
  </si>
  <si>
    <t>0144</t>
  </si>
  <si>
    <t xml:space="preserve">         อาหารในอาคาร  หรือพื้นที่ใด  ซึ่งมีพื้นที่  200  ตารางเมตร</t>
  </si>
  <si>
    <t>(25)  ค่าใบอนุญาตจำหน่ายสินค้าในที่หรือทางสาธารณะ</t>
  </si>
  <si>
    <t>0145</t>
  </si>
  <si>
    <t>0146</t>
  </si>
  <si>
    <t>(27)  ค่าใบอนุญาตเกี่ยวกับการโฆษณาโดยใช้เครื่องขยายเสียง</t>
  </si>
  <si>
    <t>0147</t>
  </si>
  <si>
    <t>0148</t>
  </si>
  <si>
    <t>หมวดรายได้จากทรัพย์สิน</t>
  </si>
  <si>
    <t>0200</t>
  </si>
  <si>
    <t>(1)  ค่าเช่าที่ดิน</t>
  </si>
  <si>
    <t>0201</t>
  </si>
  <si>
    <t>(2)  ค่าเช่าหรือค่าบริการสถานที่</t>
  </si>
  <si>
    <t>0202</t>
  </si>
  <si>
    <t>(3)  ดอกเบี้ย</t>
  </si>
  <si>
    <t>0203</t>
  </si>
  <si>
    <t>(4)  เงินปันผลหรือเงินรางวัลต่าง ๆ</t>
  </si>
  <si>
    <t>0204</t>
  </si>
  <si>
    <t>(5)  ค่าตอบแทนตามที่กฎหมายกำหนด</t>
  </si>
  <si>
    <t>0205</t>
  </si>
  <si>
    <t>หมวดรายได้จากสาธารณูปโภคและการพาณิชย์</t>
  </si>
  <si>
    <t>0250</t>
  </si>
  <si>
    <t>(1)  เงินช่วยเหลือท้องถิ่นจากกิจการเฉพาะการ</t>
  </si>
  <si>
    <t>0251</t>
  </si>
  <si>
    <t>(2)  เงินสะสมจากการโอนกิจการสาธารณูปโภคหรือการพาณิชย์</t>
  </si>
  <si>
    <t>0252</t>
  </si>
  <si>
    <t>(3)  รายได้จากสาธารณูปโภคและการพาณิชย์</t>
  </si>
  <si>
    <t>0253</t>
  </si>
  <si>
    <t xml:space="preserve">       (ไม่แยกเป็นงบเฉพาะการ)</t>
  </si>
  <si>
    <t>หมวดรายได้เบ็ดเตล็ด</t>
  </si>
  <si>
    <t>0300</t>
  </si>
  <si>
    <t>(1)  เงินที่มีผู้อุทิศให้</t>
  </si>
  <si>
    <t>0301</t>
  </si>
  <si>
    <t>(2)  ค่าขายแบบแปลน</t>
  </si>
  <si>
    <t>0302</t>
  </si>
  <si>
    <t>0303</t>
  </si>
  <si>
    <t>(4)  ค่าจำหน่ายแบบพิมพ์และคำร้อง</t>
  </si>
  <si>
    <t>0304</t>
  </si>
  <si>
    <t>(5)  ค่ารับรองสำเนาและถ่ายเอกสาร</t>
  </si>
  <si>
    <t>0305</t>
  </si>
  <si>
    <t>(6)  ค่าสมัครสมาชิกห้องสมุด</t>
  </si>
  <si>
    <t>0306</t>
  </si>
  <si>
    <t>(7)  รายได้เบ็ดเตล็ดอื่น ๆ</t>
  </si>
  <si>
    <t>0307</t>
  </si>
  <si>
    <t>-</t>
  </si>
  <si>
    <t>หมวดรายได้จากทุน</t>
  </si>
  <si>
    <t>0350</t>
  </si>
  <si>
    <t>(1)  ค่าขายทอดตลาดทรัพย์สิน</t>
  </si>
  <si>
    <t>0351</t>
  </si>
  <si>
    <t>รายได้ที่รัฐบาลเก็บแล้วจัดสรรให้องค์กรปกครอง</t>
  </si>
  <si>
    <t>ส่วนท้องถิ่น หมวดภาษีจัดสรร</t>
  </si>
  <si>
    <t>(1)  ภาษีและค่าธรรมเนียมรถยนต์หรือล้อเลื่อน</t>
  </si>
  <si>
    <t>(2)  ภาษีมูลค่าเพิ่ม</t>
  </si>
  <si>
    <t>(3)  ภาษีบำรุง  อบจ.จากภาษีมูลค่าเพิ่มที่จัดเก็บตาม</t>
  </si>
  <si>
    <t xml:space="preserve">       ประมวลรัษฎากร  5  %</t>
  </si>
  <si>
    <t>(4)  ภาษีธุรกิจเฉพาะ</t>
  </si>
  <si>
    <t>(5)  ภาษีสุรา</t>
  </si>
  <si>
    <t>(6)  ภาษีสรรพสามิต</t>
  </si>
  <si>
    <t>(7)  ภาษีการพนัน</t>
  </si>
  <si>
    <t>(8)  ภาษีแสตมป์ยาสูบ</t>
  </si>
  <si>
    <t>(9)  ค่าภาคหลวงและค่าธรรมเนียมป่าไม้</t>
  </si>
  <si>
    <t>(10)  ค่าภาคหลวงแร่</t>
  </si>
  <si>
    <t>(11)  ค่าภาคหลวงปิโตรเลียม</t>
  </si>
  <si>
    <t>(12)  เงินที่เก็บตามกฎหมายว่าด้วยอุทยานแห่งชาติ</t>
  </si>
  <si>
    <t>(13)  ค่าธรรมเนียมจดทะเบียนสิทธิและนิติกรรมที่ดิน</t>
  </si>
  <si>
    <t>(14)  อากรประทานบัตรและอาชญาบัตรประมง</t>
  </si>
  <si>
    <t>(15)  อากรรังนกอีแอ่น</t>
  </si>
  <si>
    <t>(16)  ค่าธรรมเนียมน้ำบาดาลและใช้น้ำบาดาล</t>
  </si>
  <si>
    <t>(17)  ค่าธรรมเนียมสนามบิน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</si>
  <si>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</si>
  <si>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</si>
  <si>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 เงินอุดหนุนเพื่อการบูรณะท้องถิ่นและกิจการอื่นทั่วไป</t>
  </si>
  <si>
    <t xml:space="preserve">       (หรือเงินอุดหนุนทั่วไป)</t>
  </si>
  <si>
    <t>(2)  เงินอุดหนุนทั่วไป  (อบต.)</t>
  </si>
  <si>
    <t>(3)  เงินอุดหนุนกรณีต่าง ๆ  ที่ต้องนำมาตั้งงบประมาณ</t>
  </si>
  <si>
    <t>(4) เงินอุดหนุนเฉพาะกิจ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</si>
  <si>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</si>
  <si>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</si>
  <si>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(1)  เงินอุดหนุนเฉพาะกิจด้านการศึกษา</t>
  </si>
  <si>
    <t>(2)  เงินอุดหนุนเฉพาะกิจจากกรมส่งเสริมการปกครองท้องถิ่น</t>
  </si>
  <si>
    <t>(1)  เงินจ่ายขาดเงินสะสม</t>
  </si>
  <si>
    <t>(2)  เงินสำรองรายรับ</t>
  </si>
  <si>
    <t>รวมสุทธิ</t>
  </si>
  <si>
    <t>รายงาน  รับ - จ่าย  เงินสด</t>
  </si>
  <si>
    <t>จนถึงปีปัจจุบัน</t>
  </si>
  <si>
    <t>เดือนนี้</t>
  </si>
  <si>
    <t>เกิดขึ้นจริง</t>
  </si>
  <si>
    <t>(บาท)</t>
  </si>
  <si>
    <t xml:space="preserve">   ภาษีอากร</t>
  </si>
  <si>
    <t xml:space="preserve">   ค่าธรรมเนียม ค่าปรับและใบอนุญาต</t>
  </si>
  <si>
    <t xml:space="preserve">   รายได้จากทรัพย์สิน</t>
  </si>
  <si>
    <t xml:space="preserve">   รายได้จากสาธารณูปโภคและการพาณิชย์</t>
  </si>
  <si>
    <t xml:space="preserve">   รายได้เบ็ดเตล็ด</t>
  </si>
  <si>
    <t xml:space="preserve">   รายได้จากทุน</t>
  </si>
  <si>
    <t xml:space="preserve">   ภาษีจัดสรร</t>
  </si>
  <si>
    <t>เงินอุดหนุน</t>
  </si>
  <si>
    <t>เงินสำรองรายรับ</t>
  </si>
  <si>
    <t>รวมรายรับ</t>
  </si>
  <si>
    <t>รายจ่าย</t>
  </si>
  <si>
    <t>งบกลาง</t>
  </si>
  <si>
    <t>รายจ่ายอื่น ๆ</t>
  </si>
  <si>
    <t>รายจ่ายค้างจ่าย (หมายเหตุ 3)</t>
  </si>
  <si>
    <t>รวมรายจ่าย</t>
  </si>
  <si>
    <t xml:space="preserve">                      สูงกว่า</t>
  </si>
  <si>
    <t>รายรับ                               รายจ่าย</t>
  </si>
  <si>
    <t xml:space="preserve">                     (ต่ำกว่า)</t>
  </si>
  <si>
    <t xml:space="preserve">                     ยอดยกไป</t>
  </si>
  <si>
    <t>ค่าขายแบบแปลน</t>
  </si>
  <si>
    <r>
      <t>รายรับ</t>
    </r>
    <r>
      <rPr>
        <sz val="16"/>
        <rFont val="AngsanaUPC"/>
        <family val="1"/>
      </rPr>
      <t xml:space="preserve"> (หมายเหตุ 1)</t>
    </r>
  </si>
  <si>
    <t>รวมรายจ่ายค้างจ่ายทั้งสิ้น</t>
  </si>
  <si>
    <t xml:space="preserve">เงินทุนโครงการเศรษฐกิจชุมชน </t>
  </si>
  <si>
    <t>ที่ดิน</t>
  </si>
  <si>
    <t>รายจ่ายอื่น</t>
  </si>
  <si>
    <t>หมวดที่จ่าย  (เงินเบิกตัดปี)</t>
  </si>
  <si>
    <r>
      <t>เงินรับฝาก</t>
    </r>
    <r>
      <rPr>
        <sz val="16"/>
        <rFont val="AngsanaUPC"/>
        <family val="1"/>
      </rPr>
      <t xml:space="preserve">  (หมายเหตุ 2)</t>
    </r>
  </si>
  <si>
    <t xml:space="preserve"> </t>
  </si>
  <si>
    <t>(นางสาวจารุณี  บุญประสม)</t>
  </si>
  <si>
    <t>(นางสาวดวงใจ  ชมพุทธ์)</t>
  </si>
  <si>
    <t>รับรองถูกต้อง</t>
  </si>
  <si>
    <t>ตรวจสอบถูกต้อง</t>
  </si>
  <si>
    <t>องค์การบริหารส่วนตำบลเมืองโดน</t>
  </si>
  <si>
    <t>เงินฝากธนาคาร - ออมทรัพย์  (35007 -9)</t>
  </si>
  <si>
    <t>เงินฝากธนาคาร - ออมทรัพย์  (56214-1)</t>
  </si>
  <si>
    <t>เงินฝากธนาคาร - กระแสรายวัน (00450 - 4)</t>
  </si>
  <si>
    <t>5000</t>
  </si>
  <si>
    <t>เงินรายรับ</t>
  </si>
  <si>
    <t>เงินมัดจำประกันสัญญา</t>
  </si>
  <si>
    <t>โครงการถ่ายโอนกิจกรรมสาธารณะฯ</t>
  </si>
  <si>
    <t>เงินทุนโครงการเศรษฐกิจชุมชน</t>
  </si>
  <si>
    <t>เงินค่าใช้จ่าย  5%</t>
  </si>
  <si>
    <t>เงินส่วนลด 6%</t>
  </si>
  <si>
    <t xml:space="preserve">เงินรับฝาก </t>
  </si>
  <si>
    <t>อำเภอประทาย  จังหวัดนครราชสีมา</t>
  </si>
  <si>
    <t xml:space="preserve">            เลขที่บัญชี   368-2-35007-9</t>
  </si>
  <si>
    <t>ธนาคารเพื่อการเกษตรและสหกรณ์การเกษตร</t>
  </si>
  <si>
    <t>ธนาคาร กรุงไทย  จำกัด (มหาชน)</t>
  </si>
  <si>
    <t xml:space="preserve">        ตำแหน่ง  เจ้าพนักงานการเงินและบัญชี</t>
  </si>
  <si>
    <t>เงินฝากธนาคาร - ออมทรัพย์   (13082-6)</t>
  </si>
  <si>
    <t>รายจ่ายรอจ่าย</t>
  </si>
  <si>
    <t>รวมรายจ่ายรอจ่ายทั้งสิ้น</t>
  </si>
  <si>
    <t>รายจ่ายรอจ่าย  (หมายเหตุ 3)</t>
  </si>
  <si>
    <t>เงินฝากประจำ  12  เดือน   (000618-9)</t>
  </si>
  <si>
    <r>
      <t>รายจ่ายค้างจ่าย</t>
    </r>
    <r>
      <rPr>
        <b/>
        <sz val="16"/>
        <rFont val="AngsanaUPC"/>
        <family val="1"/>
      </rPr>
      <t xml:space="preserve">  (หมายเหตุ 3)</t>
    </r>
  </si>
  <si>
    <t xml:space="preserve">            เลขที่บัญชี   340-0-13082-6</t>
  </si>
  <si>
    <t>ตำแหน่ง  หัวหน้าส่วนการคลัง</t>
  </si>
  <si>
    <t>เงินอุดหนุนเบี้ยยังชีพผู้สูงอายุ</t>
  </si>
  <si>
    <t xml:space="preserve">เงินอุดหนุน ค่าเบี้ยยังชีพผู้สูงอายุ  </t>
  </si>
  <si>
    <t>ตอบแทน</t>
  </si>
  <si>
    <t>ใช้สอย</t>
  </si>
  <si>
    <t>วัสดุ</t>
  </si>
  <si>
    <t>ปลัด</t>
  </si>
  <si>
    <t>คลัง</t>
  </si>
  <si>
    <t>ศึกษา</t>
  </si>
  <si>
    <t>ช่าง</t>
  </si>
  <si>
    <t>ครุภัณฑ์</t>
  </si>
  <si>
    <t>เงินทุนโครงการเศรษฐกิจชุมชนบัญชี  2</t>
  </si>
  <si>
    <t>(26)  ค่าใบอนุญาตเกี่ยวกับการควบคุมอาคาร</t>
  </si>
  <si>
    <t>(28)  ค่าใบอนุญาตประกอบที่เป็นอันตรายต่อสุขภาพ</t>
  </si>
  <si>
    <t>(29)  ค่าใบอนุญาตอื่น ๆ</t>
  </si>
  <si>
    <t>0149</t>
  </si>
  <si>
    <t>(3)  ค่าขายเอกสารสอบราคา</t>
  </si>
  <si>
    <t>เงินอุดหนุนศูนย์พัฒนาครอบครัว</t>
  </si>
  <si>
    <t>เงินอุดหนุนเฉพาะกิจค่าเบี้ยยังชีพผู้พิการ</t>
  </si>
  <si>
    <t>เงินรับฝาก (ค่ายแบบแปลน)</t>
  </si>
  <si>
    <t>(นายบุญสวน  คำดี)</t>
  </si>
  <si>
    <t>นายกองค์การบริหารส่วนตำบลเมืองโดน</t>
  </si>
  <si>
    <t>เงินอุดหนุน ค่าเบี้ยยังชีพผู้พิการ</t>
  </si>
  <si>
    <t>เงินทุนโครงการเศรษฐกิจชุมชน (บัญชี  2)</t>
  </si>
  <si>
    <t>บัญชีรายจ่ายค้างจ่าย</t>
  </si>
  <si>
    <t xml:space="preserve">                      ปีงบประมาณ  2554</t>
  </si>
  <si>
    <t xml:space="preserve">เงินอุดหนุนเฉพาะกิจค้างจ่าย </t>
  </si>
  <si>
    <t>เงินอุดหนุนเฉพาะกิจ(เงินเดือนครูศูนย์เด็กเล็กฯ)</t>
  </si>
  <si>
    <t>รับคืน  (ค่าเบี้ยยังชีพผู้สูงอายุ)</t>
  </si>
  <si>
    <t>เงินอุดหนุนเงินเดือนครูศูนย์พัฒนาเด็กเล็ก</t>
  </si>
  <si>
    <t xml:space="preserve">เงินสะสม </t>
  </si>
  <si>
    <t>เงินอุดหนุนเฉพาะกิจ(ค่าเบี้ยยังชีพผู้สูงอายุ)</t>
  </si>
  <si>
    <t>เงินอุดหนุนเฉพาะกิจ(ค่าเบี้ยยังชีพผู้พิการ)</t>
  </si>
  <si>
    <t>ยอดคงเหลือตามรายงานธนาคาร ณ วันที่  31  กรกฎาคม   2554</t>
  </si>
  <si>
    <t>ลงชื่อ…………………………วันที่   31  กรกฎาคม  2554</t>
  </si>
  <si>
    <t>ลงชื่อ…………………………วันที่  31  กรกฎาคม  2554</t>
  </si>
  <si>
    <t>ยอดคงเหลือตามบัญชี ณ วันที่  31 กรกฎาคม  2554</t>
  </si>
  <si>
    <t>รับคืน  (ค่าเงินเพิ่มค่าครองชีพฯ)</t>
  </si>
  <si>
    <t>วันที่  30  กันยายน   2554</t>
  </si>
  <si>
    <t>ประจำเดือนกันยายน   2554</t>
  </si>
  <si>
    <t>วันที่   1 กันยายน  2554</t>
  </si>
  <si>
    <t>เงินอุดหนุนเฉพาะกิจ(ค่าวัสดุการศึกษาศูนย์เด็กฯ)</t>
  </si>
  <si>
    <t>เดือนกันยายน  2554</t>
  </si>
  <si>
    <t>รับคืน  (ค่าเงินยืมเงินงบประมาณ)</t>
  </si>
  <si>
    <t>ยอดคงเหลือตามรายงานธนาคาร ณ วันที่  30  กันยายน   2554</t>
  </si>
  <si>
    <t>ยอดคงเหลือตามบัญชี ณ วันที่  30  กันยายน   2554</t>
  </si>
  <si>
    <t>ลงชื่อ…………………………วันที่   30  กันยายน  2554</t>
  </si>
  <si>
    <t>ลงชื่อ…………………………วันที่  30  กันยายน   2554</t>
  </si>
  <si>
    <t xml:space="preserve"> 20  กันยายน  2554</t>
  </si>
  <si>
    <t xml:space="preserve"> 21  กันยายน  2554</t>
  </si>
  <si>
    <t xml:space="preserve"> 23  กันยายน  2554</t>
  </si>
  <si>
    <t xml:space="preserve"> 30  กันยายน  2554</t>
  </si>
  <si>
    <t>เงินอุดหนุนเฉพาะกิจ(ค่าวัสดุศูนย์เด็กเล็กฯ)</t>
  </si>
  <si>
    <t>(26,631</t>
  </si>
  <si>
    <t>16)</t>
  </si>
  <si>
    <t>ณ. วันที่   30  กันยายน   2554</t>
  </si>
  <si>
    <t>บัญชีรายจ่ายรอจ่าย</t>
  </si>
  <si>
    <t>เงินอุดหนุนเค่าวัสดุการศึกษาศูนย์พัฒนาเด็กเล็ก</t>
  </si>
  <si>
    <t>รายงานรายจ่ายการดำเนินงานที่จ่ายจากเงินรายรับตามแผนงาน  งานบริหารทั่วไป</t>
  </si>
  <si>
    <t>งานบริหารทั่วไป</t>
  </si>
  <si>
    <t>งานวางแผนสถิติ</t>
  </si>
  <si>
    <t>งานบริหารงานคลัง</t>
  </si>
  <si>
    <t>และวิชาการ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</si>
  <si>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</si>
  <si>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</si>
  <si>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</si>
  <si>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</si>
  <si>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</si>
  <si>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</si>
  <si>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</si>
  <si>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</si>
  <si>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รายจ่ายอื่น</t>
  </si>
  <si>
    <t xml:space="preserve">     งบกลาง</t>
  </si>
  <si>
    <t xml:space="preserve">     ค่าครุภัณฑ์</t>
  </si>
  <si>
    <t xml:space="preserve">     ค่าที่ดินและสิ่งก่อสร้าง</t>
  </si>
  <si>
    <t>ตั้งแต่วันที่  1  ตุลาคม  2553  ถึง  30  กันยายน  2554</t>
  </si>
  <si>
    <t>รายงานรายจ่ายการดำเนินงานที่จ่ายจากเงินรายรับตามแผนงาน  การศึกษา</t>
  </si>
  <si>
    <t>งานระดับก่อนวัยเรียน</t>
  </si>
  <si>
    <t>งานระดับมัธยมศึกษา</t>
  </si>
  <si>
    <t>งานศึกษาไม่กำหนดระดับ</t>
  </si>
  <si>
    <t>เกี่ยวกับการศึกษา</t>
  </si>
  <si>
    <t>และประถมศึกษา</t>
  </si>
  <si>
    <t>รายงานรายจ่ายการดำเนินงานที่จ่ายจากเงินรายรับตามแผนงาน  การศาสนาวัฒนธรรม  และนันทนาการ</t>
  </si>
  <si>
    <t>งานกีฬาและ</t>
  </si>
  <si>
    <t>งานศาสนาวัฒนธรรมท้องถิ่น</t>
  </si>
  <si>
    <t>งานวิชาการวางแผนและ</t>
  </si>
  <si>
    <t>เกี่ยวกับศาสนาฯ</t>
  </si>
  <si>
    <t>นันทนาการ</t>
  </si>
  <si>
    <t>ส่งเสริมการท่องเที่ยว</t>
  </si>
  <si>
    <t>รายงานรายจ่ายการดำเนินงานที่จ่ายจากเงินรายรับตามแผนงาน  การเกษตร</t>
  </si>
  <si>
    <t>งานส่งเสริมการเกษตร</t>
  </si>
  <si>
    <t>งานอนุรักษ์แหล่งน้ำและป่าไม้</t>
  </si>
  <si>
    <t>รายงานรายจ่ายการดำเนินงานที่จ่ายจากเงินรายรับตามแผนงาน  งบกลาง</t>
  </si>
  <si>
    <t>นายกองค์การบริหารส่วนตำบล</t>
  </si>
  <si>
    <t>รายงานรายจ่ายการดำเนินงานที่จ่ายจากเงินรายรับตามแผนงาน  การรักษาความสงบภายใน</t>
  </si>
  <si>
    <t>งานบริหารทั่วไปเกี่ยวกับ</t>
  </si>
  <si>
    <t>งานเทศกิจ</t>
  </si>
  <si>
    <t>งานป้องกันภัยฝ่ายพลเรือน</t>
  </si>
  <si>
    <t>การรักษาความสงบภายใน</t>
  </si>
  <si>
    <t>และระงับอัคคีภัย</t>
  </si>
  <si>
    <t>รายงานรายจ่ายการดำเนินงานที่จ่ายจากเงินรายรับตามแผนงาน  สาธารณสุข</t>
  </si>
  <si>
    <t>งานโรงพยาบาล</t>
  </si>
  <si>
    <t>งานบริการสาธารณสุขและ</t>
  </si>
  <si>
    <t>งานศูนย์บริการ</t>
  </si>
  <si>
    <t>เกี่ยวกับสาธารณสุข</t>
  </si>
  <si>
    <t>งานสาธารณสุขอื่น</t>
  </si>
  <si>
    <t>สาธารณสุข</t>
  </si>
  <si>
    <t>นายกองค์การริหารส่วนตำบลเมืองโดน</t>
  </si>
  <si>
    <t>รายงานรายจ่ายการดำเนินงานที่จ่ายจากเงินรายรับตามแผนงาน  สังคมสงเคราะห์</t>
  </si>
  <si>
    <t>งานสวัสดิการและ</t>
  </si>
  <si>
    <t>สังคมสงเคราะห์</t>
  </si>
  <si>
    <t>รายงานรายจ่ายการดำเนินงานที่จ่ายจากเงินรายรับตามแผนงาน  เคหะและชุมชน</t>
  </si>
  <si>
    <t>งานไฟฟ้าถนน</t>
  </si>
  <si>
    <t>งานสวนสาธารณะ</t>
  </si>
  <si>
    <t>งานกำจัดขยะมูลฝอย</t>
  </si>
  <si>
    <t>งานบำบัดน้ำเสีย</t>
  </si>
  <si>
    <t>และสิ่งปฏิกูล</t>
  </si>
  <si>
    <t>รายงานรายจ่ายการดำเนินงานที่จ่ายจากเงินรายรับตามแผนงาน  สร้างความเข้มแข็งของชุมชน</t>
  </si>
  <si>
    <t>งานส่งเสริมและ</t>
  </si>
  <si>
    <t>สนับสนุนความเข้มแข็งชุมชน</t>
  </si>
  <si>
    <t>รายงานรายจ่ายการดำเนินงานที่จ่ายจากเงินรายรับตามแผนงาน  อุตสาหกรรมและการโยธา</t>
  </si>
  <si>
    <t>งานบริหารทั่วไปเกี่ยวกับอุตสาหกรรม</t>
  </si>
  <si>
    <t>งานก่อสร้างโครงสร้างพื้นฐาน</t>
  </si>
  <si>
    <t>และการโยธา</t>
  </si>
  <si>
    <t>รายงานรายจ่ายการดำเนินงานที่จ่ายจากเงินรายรับตามแผนงาน</t>
  </si>
  <si>
    <t>บริหารงาน</t>
  </si>
  <si>
    <t>การรักษาความ</t>
  </si>
  <si>
    <t>การศึกษา</t>
  </si>
  <si>
    <t>สังคม</t>
  </si>
  <si>
    <t>เคหะและ</t>
  </si>
  <si>
    <t>สร้างความเข้มแข็ง</t>
  </si>
  <si>
    <t>การศาสนา วัฒนธรรม</t>
  </si>
  <si>
    <t>อุตสาหกรรม</t>
  </si>
  <si>
    <t>การเกษตร</t>
  </si>
  <si>
    <t>การพาณิชย์</t>
  </si>
  <si>
    <t>ทั่วไป</t>
  </si>
  <si>
    <t>สงบภายใน</t>
  </si>
  <si>
    <t>สงเคราะห์</t>
  </si>
  <si>
    <t>ชุมชน</t>
  </si>
  <si>
    <t>ของชุมชน</t>
  </si>
  <si>
    <t>และนันทนาการ</t>
  </si>
  <si>
    <t>ผู้บริหาร</t>
  </si>
  <si>
    <t>ง/ด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</si>
  <si>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</si>
  <si>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</si>
  <si>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</si>
  <si>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</si>
  <si>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</si>
  <si>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</si>
  <si>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</si>
  <si>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</si>
  <si>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</si>
  <si>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</si>
  <si>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</si>
  <si>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</si>
  <si>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หมายเหตุ</t>
  </si>
  <si>
    <t>ค่าหนังสือพิมพ์</t>
  </si>
  <si>
    <t xml:space="preserve"> -  อุปกรณ์กีฬา</t>
  </si>
  <si>
    <t xml:space="preserve"> -  นมโรงเรียน</t>
  </si>
  <si>
    <t xml:space="preserve"> -  นมศูนย์เด็กฯ</t>
  </si>
  <si>
    <t>วัสดุสำนักงาน</t>
  </si>
  <si>
    <t>ค่าวัสดุคอมพิวเตอร์</t>
  </si>
  <si>
    <t>งานบ้านงานครัว</t>
  </si>
  <si>
    <t>สำนักงาน</t>
  </si>
  <si>
    <t>คอมพิวเตอร์</t>
  </si>
  <si>
    <t>นมศูนย์</t>
  </si>
  <si>
    <t>นมโรงเรียน</t>
  </si>
  <si>
    <t>แต่งกาย</t>
  </si>
  <si>
    <t>ก่อสร้าง</t>
  </si>
  <si>
    <t>หนังสือพิมพ์</t>
  </si>
  <si>
    <t>เบิดตัดปี นมศูนย์</t>
  </si>
  <si>
    <t>เบิดตัดปี นมโรงเรียน</t>
  </si>
  <si>
    <t>งบแสดงผลการดำเนินงานจ่ายจากเงินรายรับ</t>
  </si>
  <si>
    <t>รายรับ</t>
  </si>
  <si>
    <t xml:space="preserve">     ภาษีอากร</t>
  </si>
  <si>
    <t xml:space="preserve">     ค่าธรรมเนียมค่าปรับ</t>
  </si>
  <si>
    <t xml:space="preserve">     และใบอนุญาต</t>
  </si>
  <si>
    <t xml:space="preserve">    รายได้จากทรัพย์สิน</t>
  </si>
  <si>
    <t xml:space="preserve">    รายได้เบ็ดเตล็ด</t>
  </si>
  <si>
    <t xml:space="preserve">    รายได้จากทุน</t>
  </si>
  <si>
    <t xml:space="preserve">    รัฐบาลจัดสรรให้</t>
  </si>
  <si>
    <t xml:space="preserve">    อุดหนุนทั่วไป</t>
  </si>
  <si>
    <t xml:space="preserve">    อุดหนุนเฉพาะกิจ</t>
  </si>
  <si>
    <t>ตั้งแต่วันที่  1  ตุลาคม  2553 ถึง  30  กันยายน  2554</t>
  </si>
  <si>
    <t xml:space="preserve">   เงินเดือน</t>
  </si>
  <si>
    <t xml:space="preserve">   ค่าจ้างประจำ</t>
  </si>
  <si>
    <t xml:space="preserve">   ค่าจ้างชั่วคราว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</si>
  <si>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</si>
  <si>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</si>
  <si>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</si>
  <si>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ค่าสาธารณูปโภค</t>
  </si>
  <si>
    <t xml:space="preserve">   เงินอุดหนุน</t>
  </si>
  <si>
    <t xml:space="preserve">   รายจ่ายอื่น</t>
  </si>
  <si>
    <t xml:space="preserve">   งบกลาง</t>
  </si>
  <si>
    <t xml:space="preserve">   ค่าครุภัณฑ์</t>
  </si>
  <si>
    <t xml:space="preserve">   ค่าที่ดินและสิ่งก่อสร้าง</t>
  </si>
  <si>
    <t>องค์การบริหารส่วนตำบลเมืองโดน  อำเภอประทาย  จังหวัดนครราชสีมา</t>
  </si>
  <si>
    <t>+</t>
  </si>
  <si>
    <t>สูง</t>
  </si>
  <si>
    <t>ต่ำ</t>
  </si>
  <si>
    <t>รายรับตามประมาณการ</t>
  </si>
  <si>
    <t>รายได้</t>
  </si>
  <si>
    <t>1.  หมวดภาษีอากร (ยอดรวม)</t>
  </si>
  <si>
    <t>ภาษีบำรุงท้องที่</t>
  </si>
  <si>
    <t>ภาษีโรงเรือนและที่ดิน</t>
  </si>
  <si>
    <t>ภาษีป้าย</t>
  </si>
  <si>
    <t>ภาษีสุราและเครื่องดื่ม</t>
  </si>
  <si>
    <t>ภาษีสรรพสามิต</t>
  </si>
  <si>
    <t>ภาษีมูลค่าเพิ่ม</t>
  </si>
  <si>
    <t>ภาษีธุรกิจเฉพาะ</t>
  </si>
  <si>
    <t>ภาษีและค่าธรรมเนียมรถยนต์และล้อเลื่อน</t>
  </si>
  <si>
    <t>ค่าจดทะเบียนสิทธิและนิติกรรม</t>
  </si>
  <si>
    <t>ค่าภาคหลวงแร่</t>
  </si>
  <si>
    <t>ค่าภาคหลวงปิโตรเลียม</t>
  </si>
  <si>
    <t>ค่าธรรมเนียมอากรฆ่าสัตว์</t>
  </si>
  <si>
    <t>2.  หมวดค่าธรรมเนียม  ค่าปรับและใบอนุญาต</t>
  </si>
  <si>
    <t>ค่าธรรมเนียมเกี่ยวกับควบคุมการฆ่าสัตว์และจำหน่ายฯ</t>
  </si>
  <si>
    <t>ค่าธรรมเนียมเกี่ยวกับการควบคุมอาคาร</t>
  </si>
  <si>
    <t>ค่าปรับผู้ทำผิดกฏจราจร</t>
  </si>
  <si>
    <t>ค่าปรับการผิดสัญญา</t>
  </si>
  <si>
    <t>ค่าใบอนุญาตเกี่ยวกับการควบคุมอาคาร</t>
  </si>
  <si>
    <t>ค่าใบอนุญาตประกอบกิจการที่เป็นอันตรายต่อสุขภาพ</t>
  </si>
  <si>
    <t>ค่าใบอนุญาตประกอบกิจการรับทำการเก็บขน หรือกำจัดสิ่งปฎิกูล</t>
  </si>
  <si>
    <t>3.  หมวดรายได้จากทรัพย์สิน</t>
  </si>
  <si>
    <t>ดอกเบี้ยเงินฝากธนาคาร</t>
  </si>
  <si>
    <t xml:space="preserve">                      รับรองถูกต้อง                                       ตรวจสอบถูกต้อง                                                  ตรวจสอบถูกต้อง</t>
  </si>
  <si>
    <t xml:space="preserve">              (นางสาวจารุณี   บุญประสม)                      (นางสาวดวงใจ   ชมพุทธ์)                               (นายบุญสวน  คำดี)</t>
  </si>
  <si>
    <t xml:space="preserve">                    หัวหน้าส่วนการคลัง                            ปลัดองค์การบริหารส่วนตำบล                  นายกองค์การบริหารส่วนตำบล</t>
  </si>
  <si>
    <t xml:space="preserve"> -2-</t>
  </si>
  <si>
    <t>4.  หมวดรายได้เบ็ดเตล็ด</t>
  </si>
  <si>
    <t>ค่าขายเอกสารสอบราคา</t>
  </si>
  <si>
    <t>รายได้เบ็ดเตล็ดอื่น ๆ</t>
  </si>
  <si>
    <t>5.  หมวดเงินอุดหนุนจากรัฐบาล</t>
  </si>
  <si>
    <t>เงินอุดหนุนทั่วไป</t>
  </si>
  <si>
    <t>เงินอุดหนุนทั่วไป  (โครงการไทยเข้มแข็ง)</t>
  </si>
  <si>
    <t>เงินอุดหนุนเฉพาะกิจ</t>
  </si>
  <si>
    <t>ข   เงินได้อื่น</t>
  </si>
  <si>
    <t>เงินที่จ่ายขาดจากเงินสะสม</t>
  </si>
  <si>
    <t>รวมเงินตามประมาณการรายรับทั้งสิ้น</t>
  </si>
  <si>
    <t xml:space="preserve">                      รับรองถูกต้อง                                                 ตรวจสอบถูกต้อง                                       ตรวจสอบถูกต้อง</t>
  </si>
  <si>
    <t xml:space="preserve"> -3-</t>
  </si>
  <si>
    <t>รายจ่ายจริง</t>
  </si>
  <si>
    <t>รายจ่ายตามงบประมาณรายจ่าย</t>
  </si>
  <si>
    <t>ก.  รายจ่ายประจำ</t>
  </si>
  <si>
    <t>1.  งบกลาง</t>
  </si>
  <si>
    <t>รายจ่ายตามข้อผูกพัน</t>
  </si>
  <si>
    <t>เงินสมทบกองทุนบำเหน็จบำนาญข้าราชการส่วนท้องถิ่น</t>
  </si>
  <si>
    <t>เงินสำรองจ่าย</t>
  </si>
  <si>
    <t>2.  เงินเดือนและค่าจ้างประจำ</t>
  </si>
  <si>
    <t>3.  หมวดค่าจ้างชั่วคราว</t>
  </si>
  <si>
    <t>4.  หมวดค่าตอบแทนใช้สอยและวัสดุ</t>
  </si>
  <si>
    <t>5.  หมวดค่าสาธารณูปโภค</t>
  </si>
  <si>
    <t>6.  หมวดเงินอุดหนุน</t>
  </si>
  <si>
    <t>7.  หมวดรายจ่ายอื่น</t>
  </si>
  <si>
    <t>ข.  รายจ่ายเพื่อการลงทุน</t>
  </si>
  <si>
    <t>หมวดค่าครุภัณฑ์ ที่ดินและสิ่งก่อสร้าง</t>
  </si>
  <si>
    <t>รวมรายจ่ายทั้งสิ้น</t>
  </si>
  <si>
    <t>ตั้งแต่วันที่  1  ตุลาคม  2553  ถึงวันที่  30  กันยายน  2554</t>
  </si>
  <si>
    <t>บัญชีรายละเอียดรายรับจริง  ประจำปีงบประมาณ  2554</t>
  </si>
  <si>
    <t>ค่ารับรองสำเนาและถ่ายเอกสาร</t>
  </si>
  <si>
    <t xml:space="preserve"> +</t>
  </si>
  <si>
    <t>ค่าธรรมเนียมการเจาะน้ำบาดาล</t>
  </si>
  <si>
    <t xml:space="preserve"> -</t>
  </si>
  <si>
    <t>บัญชีรายละเอียดรายจ่ายจริง  ประจำปีงบประมาณ  2554</t>
  </si>
  <si>
    <t>1.  ค่าเบี้ยยังชีพผู้สูงอายุ</t>
  </si>
  <si>
    <t>2.  ค่าเบี้ยยังชีพผู้พิการ</t>
  </si>
  <si>
    <t>3.  เงินเดือน/ค่าตอบแทนครูผู้ดูแลเด็กฯ</t>
  </si>
  <si>
    <t>4.  ค่าวัสดุการศึกษาศูนย์พัฒนาเด็กเล็กฯ</t>
  </si>
  <si>
    <t xml:space="preserve"> -4-</t>
  </si>
  <si>
    <t>องค์การบริหารส่วนตำบลโดน  อำเภอประทาย   จังหวัดนครราชสีมา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</si>
  <si>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</si>
  <si>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</si>
  <si>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</si>
  <si>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</si>
  <si>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</si>
  <si>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</si>
  <si>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</si>
  <si>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</si>
  <si>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ก.  อสังหาริมทรัพย์</t>
  </si>
  <si>
    <t>ก.  รายได้องค์การบริหารส่วนตำบล</t>
  </si>
  <si>
    <t>อาคาร</t>
  </si>
  <si>
    <t>ข.  เงินอุดหนุนจากรัฐบาล(เฉพาะกิจ)</t>
  </si>
  <si>
    <t>รั้วที่ทำการ อบต.เมืองโดน</t>
  </si>
  <si>
    <t>เสารับ-ส่งสัญญาณวิทยุ</t>
  </si>
  <si>
    <t>ข.</t>
  </si>
  <si>
    <t>สังหาริมทรัพย์</t>
  </si>
  <si>
    <t>ค.  เงินบริจาค</t>
  </si>
  <si>
    <t>เครื่องใช้สำนักงาน</t>
  </si>
  <si>
    <t>ครุภัณฑ์โยธา</t>
  </si>
  <si>
    <t>ครุภัณฑ์ทางการเกษตร</t>
  </si>
  <si>
    <t>ครุภัณฑ์ยานพาหนะและขนส่ง</t>
  </si>
  <si>
    <t>ครุภัณฑ์งานบ้านงานครัว</t>
  </si>
  <si>
    <t>ครุภัณฑ์ไฟฟ้าและวิทยุ</t>
  </si>
  <si>
    <t>ครุภัณฑ์โฆษณาและเผยแพร่</t>
  </si>
  <si>
    <t>ครุภัณฑ์อื่น</t>
  </si>
  <si>
    <t>ครุภัณฑ์การศึกษา</t>
  </si>
  <si>
    <t>ครุภัณฑ์เครื่องดนตรีและนาฎศิลป์</t>
  </si>
  <si>
    <t>ปลัด อบต. เมืองโดน</t>
  </si>
  <si>
    <t>ณ  วันที่  30  กันยายน  2554</t>
  </si>
  <si>
    <t>ครุภัณฑ์เครื่องคอมพิวเตอร์</t>
  </si>
  <si>
    <t>งบแสดงฐานะการเงิน</t>
  </si>
  <si>
    <t>ณ 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</si>
  <si>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</si>
  <si>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</si>
  <si>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</si>
  <si>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</si>
  <si>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รายจ่ายค้างจ่าย</t>
  </si>
  <si>
    <t>เงินอุดหนุนเฉพาะกิจค้างจ่าย</t>
  </si>
  <si>
    <t>โครงการถ่ายโอนกิจกรรมสาธารณะ</t>
  </si>
  <si>
    <t>ค่าใช้จ่าย 5%</t>
  </si>
  <si>
    <t>เงินส่วนลด  6%</t>
  </si>
  <si>
    <t>เงินภาษีหัก  ณ  ที่จ่าย</t>
  </si>
  <si>
    <t>เงินรับฝาก  (ค่าขายแบบแปลน)</t>
  </si>
  <si>
    <t>เงินฝากธนาคาร ธ.ก.ส. (35007-9)</t>
  </si>
  <si>
    <t>เงินฝากธนาคาร ธ.ก.ส. (56214-1)</t>
  </si>
  <si>
    <t>บวก  รายรับสูงกว่ารายจ่ายจริง</t>
  </si>
  <si>
    <t>เงินฝากธนาคารกรุงไทย (13082-6)</t>
  </si>
  <si>
    <t>บวก   รายการปรับปรุง</t>
  </si>
  <si>
    <t>เงินฝากธนาคารออมสิน (000618-9)</t>
  </si>
  <si>
    <t>หัก    เงินทุนสำรองเงินสะสม</t>
  </si>
  <si>
    <t>เงินทุนโครงการเศรษฐกิจชุมชน บัญชี 2</t>
  </si>
  <si>
    <t>หัก    จ่ายขาดเงินสะสม</t>
  </si>
  <si>
    <t>เงินยืมเงินสะสม</t>
  </si>
  <si>
    <t>เงินสะสมคงเหลือเมื่อวันที่  30  ก.ย.  2554</t>
  </si>
  <si>
    <t>เงินสะสมยกมาเมื่อวันที่  1  ต.ค.  2553</t>
  </si>
  <si>
    <t>เงินสะสมยกมาเมื่อวันที่  30  ก.ย.  2554</t>
  </si>
  <si>
    <t>งบทดลอง  (หลังปิดบัญชี)</t>
  </si>
  <si>
    <t>023</t>
  </si>
  <si>
    <t>เงินฝากธนาคาร - ออมทรัพย์  (13082-6)</t>
  </si>
  <si>
    <t>เงินฝากธนาคาร - ประจำ 12  เดือน (000618-9)</t>
  </si>
  <si>
    <t>เงินทุนโครงการเศรษฐกิจชุมชน  บัญชี  2</t>
  </si>
  <si>
    <t>เงินค่าใช้จ่าย 5%</t>
  </si>
  <si>
    <t>ณ  วันที่  30  กันยายน   2554</t>
  </si>
  <si>
    <t>ภาษีอากร</t>
  </si>
  <si>
    <t>ค่าธรรมเนียม  ค่าปรับและใบอนุญาต</t>
  </si>
  <si>
    <t>รายได้จากทรัพย์สิน</t>
  </si>
  <si>
    <t>รายได้จากสาธาณูปโภคและการพาณิชย์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</si>
  <si>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</si>
  <si>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</si>
  <si>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</si>
  <si>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เงินอุดหนุนที่รัฐบาลให้โดยระบุวัตถุประสงค์</t>
  </si>
  <si>
    <t>เงินอุดหนุนเฉพาะกิจ  (ค่าเบี้ยยังชีพผู้สูงอายุ)</t>
  </si>
  <si>
    <t>เงินอุดหนุนเฉพาะกิจ  (ค่าเบี้ยยังชีพผู้พิการ)</t>
  </si>
  <si>
    <t>รวมเงินอุดหนุนที่รัฐบาลให้โดยระบุวัตถุประสงค์</t>
  </si>
  <si>
    <t>รวมรายรับทั้งสิ้น</t>
  </si>
  <si>
    <t xml:space="preserve">                   รับรองถูกต้อง                                        ตรวจสอบถูกต้อง                                             ตรวจสอบถูกต้อง                                                     </t>
  </si>
  <si>
    <t xml:space="preserve">         (นางสาวจารุณี   บุญประสม)                  (นางสาวดวงใจ   ชมพุทธ์)                                   (นายบุญสวน   คำดี)</t>
  </si>
  <si>
    <t xml:space="preserve">                หัวหน้าส่วนการคลัง                    ปลัดองค์การบริหารส่วนตำบล                         นายกองค์การบริหารส่วนตำบล</t>
  </si>
  <si>
    <t>รวมรายจ่ายตามงบประมาณรายจ่ายทั้งสิ้น</t>
  </si>
  <si>
    <t>รายจ่ายเงินอุดหนุนที่รัฐบาลให้โดยระบุวัตถุประสงค์</t>
  </si>
  <si>
    <t>รวมรายจ่ายเงินอุดหนุนที่รัฐบาลให้โดยระบุวัตถุประสงค์</t>
  </si>
  <si>
    <t>สูงกว่า</t>
  </si>
  <si>
    <t>รายรับ                                                                            รายจ่าย</t>
  </si>
  <si>
    <t>(ต่ำกว่า)</t>
  </si>
  <si>
    <t>เงินอุดหนุนเฉพาะกิจ  (เงินเดือนค่าตอบแทนครูศูนย์พัฒนาเด็กเล็ก)</t>
  </si>
  <si>
    <t>เงินอุดหนุนเฉพาะกิจ  (ค่าวัสดุการศึกษาศูนย์พัฒนาเด็กเล็ก)</t>
  </si>
  <si>
    <t>กระดาษทำการ</t>
  </si>
  <si>
    <t>ใบผ่านรายการบัญชีทั่วไป</t>
  </si>
  <si>
    <t>(ปรับปรุง)</t>
  </si>
  <si>
    <t>(ปิดบัญชี)</t>
  </si>
  <si>
    <t>ยอดยกไป</t>
  </si>
  <si>
    <t>(นางสาวเพ็ญศรี  จิตจัง)</t>
  </si>
  <si>
    <t>เจ้าพนักงานการเงินและบัญชี</t>
  </si>
  <si>
    <t xml:space="preserve">เงินอุดหนุนเฉพาะกิจค้างจ่าย  </t>
  </si>
  <si>
    <t>เงินอุดหนุนเฉพาะกิจ (ค่าวัสดุการศึกษาศูนย์พัฒนาเด็กเล็ก)</t>
  </si>
  <si>
    <t>เงินอุดหนุนเฉพาะกิจ(เงินเดือนค่าตอบแทนศูนย์พัฒนาเด็กเล็ก)</t>
  </si>
  <si>
    <t>แบบ (อปท.) 1/1</t>
  </si>
  <si>
    <t>เงินอุดหนุนเฉพาะกิจฝากจังหวัด</t>
  </si>
  <si>
    <t>ลูกหนี้เงินยืม</t>
  </si>
  <si>
    <t>รายได้ค้างรับ</t>
  </si>
  <si>
    <t>หุ้นโรงพิมพ์ส่วนท้องถิ่น</t>
  </si>
  <si>
    <t>แบบ (อปท.) 2</t>
  </si>
  <si>
    <t>จ่ายจากเงินสะสม</t>
  </si>
  <si>
    <t>รายได้จากสาธารณูปโภค</t>
  </si>
  <si>
    <t>ชื่อองค์กรปกครองส่วนท้องถิ่น  องค์การบริหารส่วนตำบลเมืองโดน  อำเภอประทาย</t>
  </si>
  <si>
    <t>ยอดคงเหลือสิ้นปี</t>
  </si>
  <si>
    <t>ยอดคงเหลือต้นปี</t>
  </si>
  <si>
    <t>สินทรัพย์</t>
  </si>
  <si>
    <t>เงินสด-เงินฝากธนาคาร และเงินฝากคลัง</t>
  </si>
  <si>
    <t>เงินฝาก-เงินทุนส่งเสริมกิจการเทศบาล  (ก.ส.ท)</t>
  </si>
  <si>
    <t>เงินกองทุนสะสมองค์การบริหารส่วนจังหวัด (กสอ.)</t>
  </si>
  <si>
    <t>ลูกหนี้-ภาษีโรงเรือน</t>
  </si>
  <si>
    <t>ลูกหนี้-ภาษีบำรุงท้องที่</t>
  </si>
  <si>
    <t>ลูกหนี้-ภาษีป้าย</t>
  </si>
  <si>
    <t>รวมสินทรัพย์ (1)</t>
  </si>
  <si>
    <t>หนี้สิน เงินสะสมและทุนทรัพย์สิน</t>
  </si>
  <si>
    <t>เจ้าหนี้</t>
  </si>
  <si>
    <t xml:space="preserve">เงินรับฝากต่าง ๆ </t>
  </si>
  <si>
    <t>รายจ่ายผัดส่งใบสำคัญ</t>
  </si>
  <si>
    <t>หนี้สินอื่น</t>
  </si>
  <si>
    <t>รวมหนี้สิน  (2)</t>
  </si>
  <si>
    <t>เงินสะสมเงินทุนสำรองเงินสะสม</t>
  </si>
  <si>
    <t xml:space="preserve">อื่นๆ </t>
  </si>
  <si>
    <t>รวมเงินสะสม  (3)</t>
  </si>
  <si>
    <t>รวมทุนทรัพย์สิน  (4)</t>
  </si>
  <si>
    <t>รวมหนี้สิน เงินสะสมและทุนทรัพย์สิน (4)=(2+3+4)</t>
  </si>
  <si>
    <t>หมายเหตุ  :  สินทรัพย์  =  หนี้สิน เงินสะสมและทุนทรัพย์สิน  (1) = (5)</t>
  </si>
  <si>
    <t>ลงชื่อ</t>
  </si>
  <si>
    <t>หน่วย : บาท</t>
  </si>
  <si>
    <t>แบบ อปท. 1/2</t>
  </si>
  <si>
    <t>งบทรัพย์สิน  (ไม่หมุนเวียน)</t>
  </si>
  <si>
    <t>หน่วย  :  บาท</t>
  </si>
  <si>
    <t>อาคารต่าง ๆ</t>
  </si>
  <si>
    <t>บ้านพัก</t>
  </si>
  <si>
    <t>สนามเด็กเล็ก</t>
  </si>
  <si>
    <t>สนามกีฬา</t>
  </si>
  <si>
    <t>สะพาน</t>
  </si>
  <si>
    <t>ถนน</t>
  </si>
  <si>
    <t>รั้ว</t>
  </si>
  <si>
    <t>บ่อน้ำ</t>
  </si>
  <si>
    <t>อ่างเก็บน้ำ</t>
  </si>
  <si>
    <t>เขื่อน</t>
  </si>
  <si>
    <t>ครุภัณฑ์สำนักงาน</t>
  </si>
  <si>
    <t>ครุภัณฑ์การเกษตร</t>
  </si>
  <si>
    <t>ครุภัณฑ์ก่อสร้าง</t>
  </si>
  <si>
    <t>ครุภัณฑ์วิทยาศาสตร์และการแพทย์</t>
  </si>
  <si>
    <t>ครุภัณฑ์โรงงาน</t>
  </si>
  <si>
    <t>ครุภัณฑ์ดับเพลิง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</si>
  <si>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</si>
  <si>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</si>
  <si>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</si>
  <si>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ครุภัณฑ์ดนตรีและนาฏศิลป์</t>
  </si>
  <si>
    <t>ครุภัณฑ์คอมพิวเตอร์</t>
  </si>
  <si>
    <t>ครุภัณฑ์การโยธา</t>
  </si>
  <si>
    <t>ครุภัณฑ์อื่น ๆ</t>
  </si>
  <si>
    <t>รวมครุภัณฑ์</t>
  </si>
  <si>
    <t>เงินกู้</t>
  </si>
  <si>
    <t>เงินอุทิศ</t>
  </si>
  <si>
    <t>เงินรับโอน</t>
  </si>
  <si>
    <t>จ่ายขาดเงินสะสม</t>
  </si>
  <si>
    <t>รวมจำนวนเงินแหล่งที่มาของทรัพย์สิน</t>
  </si>
  <si>
    <t>แหล่งที่มาของทรัพย์สิน</t>
  </si>
  <si>
    <t>ชื่อองค์กรปกครองส่วนท้องถิ่น  องค์การบริหารส่วนตำบลเมืองโดน</t>
  </si>
  <si>
    <t>งบรายรับ - รายจ่าย</t>
  </si>
  <si>
    <t>รายได้เงินอุดหนุนจากรัฐบาล</t>
  </si>
  <si>
    <t>รวมรายได้จากรัฐบาล  (1)</t>
  </si>
  <si>
    <t>รายได้ภาษีอากร</t>
  </si>
  <si>
    <t>รายได้ค่าธรรมเนียมค่าปรับและใบอนุญาต</t>
  </si>
  <si>
    <t>รายได้ที่รัฐบาลจัดสรรให้</t>
  </si>
  <si>
    <t>รวมรายได้จากแหล่งอื่น (2)</t>
  </si>
  <si>
    <t>รวมรายได้จากการดำเนินการ (3) = (1)+ (2)</t>
  </si>
  <si>
    <t>รายจ่ายงบกลาง</t>
  </si>
  <si>
    <t>รายจ่ายเงินเดือน</t>
  </si>
  <si>
    <t>รายจ่ายค่าจ้างประจำ</t>
  </si>
  <si>
    <t>รายจ่ายค่าจ้างชั่วคราว</t>
  </si>
  <si>
    <t>รายจ่ายค่าตอบแทน</t>
  </si>
  <si>
    <t>รายจ่ายค่าใช้สอย</t>
  </si>
  <si>
    <t>รายจ่ายค่าวัสดุ</t>
  </si>
  <si>
    <t>รายจ่ายค่าสาธารณูปโภค</t>
  </si>
  <si>
    <t>รายจ่ายเงินอุดหนุน</t>
  </si>
  <si>
    <t>รายจ่ายค่าครุภัณฑ์</t>
  </si>
  <si>
    <t>รายจ่ายที่ดินและสิ่งก่อสร้าง</t>
  </si>
  <si>
    <t>รวมค่าใช้จ่ายจากการดำเนินงาน  (4)</t>
  </si>
  <si>
    <t>รวมค่าใช้จ่าย (6) = (4)+(5)</t>
  </si>
  <si>
    <t>รายได้สูง (ต่ำ) กว่าค่าใช้จ่ายจากการดำเนินงาน (3 -6)</t>
  </si>
  <si>
    <t>ยอดรวมปีปัจจุบัน</t>
  </si>
  <si>
    <t>ยอดรวมปีก่อน</t>
  </si>
  <si>
    <t>รวมจ่ายจากเงินสะสม  (5)</t>
  </si>
  <si>
    <t>แบบ อปท.3</t>
  </si>
  <si>
    <t>งบกระแสเงินสด</t>
  </si>
  <si>
    <t xml:space="preserve">     รับเงินรายรับ</t>
  </si>
  <si>
    <t xml:space="preserve">     รับเงินรับฝาก</t>
  </si>
  <si>
    <t xml:space="preserve">     รับเงินอุดหนุนเฉพาะกิจ</t>
  </si>
  <si>
    <t xml:space="preserve">     รับเงินอุดหนุนทั่วไป</t>
  </si>
  <si>
    <t xml:space="preserve">     รับเงินกู้</t>
  </si>
  <si>
    <t xml:space="preserve">     จ่ายเงินตามงบประมาณ</t>
  </si>
  <si>
    <t xml:space="preserve">     จ่ายเงินรับฝาก</t>
  </si>
  <si>
    <t xml:space="preserve">     จ่ายเงินสะสม</t>
  </si>
  <si>
    <t xml:space="preserve">     จ่ายเงินอุดหนุนเฉพาะกิจ</t>
  </si>
  <si>
    <t xml:space="preserve">     จ่ายเงินกู้</t>
  </si>
  <si>
    <t>ผลต่างระหว่างรายรับและรายจ่าย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</si>
</sst>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_-* #,##0_-;\-* #,##0_-;_-* &quot;-&quot;??_-;_-@_-"/>
    <numFmt numFmtId="189" formatCode="00"/>
    <numFmt numFmtId="190" formatCode="#,##0_ ;\-#,##0\ "/>
    <numFmt numFmtId="191" formatCode="\(000,000"/>
    <numFmt numFmtId="192" formatCode="00\)"/>
    <numFmt numFmtId="193" formatCode="#,##0.0"/>
    <numFmt numFmtId="194" formatCode="0000000"/>
    <numFmt numFmtId="195" formatCode="_-* #,##0.0_-;\-* #,##0.0_-;_-* &quot;-&quot;??_-;_-@_-"/>
    <numFmt numFmtId="196" formatCode="\(#,000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0.000"/>
    <numFmt numFmtId="202" formatCode="0.00000000"/>
    <numFmt numFmtId="203" formatCode="0.0000000"/>
    <numFmt numFmtId="204" formatCode="0.000000"/>
    <numFmt numFmtId="205" formatCode="0.00000"/>
    <numFmt numFmtId="206" formatCode="0.0000"/>
  </numFmts>
  <fonts count="23">
    <font>
      <sz val="10"/>
      <name val="Arial"/>
      <family val="0"/>
    </font>
    <font>
      <b/>
      <sz val="16"/>
      <name val="Cordia New"/>
      <family val="2"/>
    </font>
    <font>
      <b/>
      <sz val="18"/>
      <name val="AngsanaUPC"/>
      <family val="1"/>
    </font>
    <font>
      <sz val="1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u val="single"/>
      <sz val="16"/>
      <name val="AngsanaUPC"/>
      <family val="1"/>
    </font>
    <font>
      <sz val="16"/>
      <name val="Angsana New"/>
      <family val="1"/>
    </font>
    <font>
      <sz val="18"/>
      <name val="AngsanaUPC"/>
      <family val="1"/>
    </font>
    <font>
      <sz val="16"/>
      <name val="Arial"/>
      <family val="0"/>
    </font>
    <font>
      <sz val="16"/>
      <name val="BrowalliaUPC"/>
      <family val="2"/>
    </font>
    <font>
      <b/>
      <u val="single"/>
      <sz val="16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0"/>
      <name val="Angsana New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ngsanaUPC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3" xfId="17" applyNumberFormat="1" applyFont="1" applyBorder="1" applyAlignment="1">
      <alignment/>
    </xf>
    <xf numFmtId="188" fontId="4" fillId="0" borderId="4" xfId="17" applyNumberFormat="1" applyFont="1" applyBorder="1" applyAlignment="1">
      <alignment horizontal="right"/>
    </xf>
    <xf numFmtId="189" fontId="4" fillId="0" borderId="4" xfId="17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7" applyFont="1" applyBorder="1" applyAlignment="1">
      <alignment/>
    </xf>
    <xf numFmtId="3" fontId="4" fillId="0" borderId="4" xfId="17" applyNumberFormat="1" applyFont="1" applyBorder="1" applyAlignment="1">
      <alignment/>
    </xf>
    <xf numFmtId="0" fontId="4" fillId="0" borderId="4" xfId="0" applyFont="1" applyBorder="1" applyAlignment="1">
      <alignment/>
    </xf>
    <xf numFmtId="190" fontId="4" fillId="0" borderId="4" xfId="17" applyNumberFormat="1" applyFont="1" applyBorder="1" applyAlignment="1">
      <alignment/>
    </xf>
    <xf numFmtId="189" fontId="4" fillId="0" borderId="4" xfId="17" applyNumberFormat="1" applyFont="1" applyBorder="1" applyAlignment="1" quotePrefix="1">
      <alignment horizontal="center"/>
    </xf>
    <xf numFmtId="3" fontId="4" fillId="0" borderId="0" xfId="17" applyNumberFormat="1" applyFont="1" applyBorder="1" applyAlignment="1">
      <alignment/>
    </xf>
    <xf numFmtId="0" fontId="6" fillId="0" borderId="4" xfId="0" applyFont="1" applyBorder="1" applyAlignment="1">
      <alignment/>
    </xf>
    <xf numFmtId="43" fontId="4" fillId="0" borderId="4" xfId="17" applyFont="1" applyBorder="1" applyAlignment="1">
      <alignment/>
    </xf>
    <xf numFmtId="189" fontId="4" fillId="0" borderId="4" xfId="17" applyNumberFormat="1" applyFont="1" applyBorder="1" applyAlignment="1">
      <alignment/>
    </xf>
    <xf numFmtId="190" fontId="4" fillId="0" borderId="4" xfId="17" applyNumberFormat="1" applyFont="1" applyBorder="1" applyAlignment="1" quotePrefix="1">
      <alignment horizontal="center"/>
    </xf>
    <xf numFmtId="3" fontId="4" fillId="0" borderId="0" xfId="0" applyNumberFormat="1" applyFont="1" applyAlignment="1">
      <alignment/>
    </xf>
    <xf numFmtId="0" fontId="4" fillId="0" borderId="4" xfId="0" applyFont="1" applyBorder="1" applyAlignment="1" quotePrefix="1">
      <alignment horizontal="center"/>
    </xf>
    <xf numFmtId="188" fontId="4" fillId="0" borderId="4" xfId="17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 quotePrefix="1">
      <alignment horizontal="center"/>
    </xf>
    <xf numFmtId="189" fontId="4" fillId="0" borderId="0" xfId="0" applyNumberFormat="1" applyFont="1" applyBorder="1" applyAlignment="1" quotePrefix="1">
      <alignment horizontal="center"/>
    </xf>
    <xf numFmtId="190" fontId="4" fillId="0" borderId="5" xfId="17" applyNumberFormat="1" applyFont="1" applyBorder="1" applyAlignment="1">
      <alignment/>
    </xf>
    <xf numFmtId="189" fontId="4" fillId="0" borderId="5" xfId="17" applyNumberFormat="1" applyFont="1" applyBorder="1" applyAlignment="1">
      <alignment horizontal="center"/>
    </xf>
    <xf numFmtId="190" fontId="4" fillId="0" borderId="0" xfId="17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88" fontId="4" fillId="0" borderId="0" xfId="17" applyNumberFormat="1" applyFont="1" applyBorder="1" applyAlignment="1">
      <alignment/>
    </xf>
    <xf numFmtId="188" fontId="4" fillId="0" borderId="6" xfId="17" applyNumberFormat="1" applyFont="1" applyBorder="1" applyAlignment="1">
      <alignment/>
    </xf>
    <xf numFmtId="189" fontId="4" fillId="0" borderId="6" xfId="17" applyNumberFormat="1" applyFont="1" applyBorder="1" applyAlignment="1">
      <alignment horizontal="center"/>
    </xf>
    <xf numFmtId="189" fontId="4" fillId="0" borderId="0" xfId="17" applyNumberFormat="1" applyFont="1" applyBorder="1" applyAlignment="1" quotePrefix="1">
      <alignment horizontal="center"/>
    </xf>
    <xf numFmtId="189" fontId="4" fillId="0" borderId="5" xfId="17" applyNumberFormat="1" applyFont="1" applyBorder="1" applyAlignment="1" quotePrefix="1">
      <alignment horizontal="center"/>
    </xf>
    <xf numFmtId="0" fontId="6" fillId="0" borderId="3" xfId="0" applyFont="1" applyBorder="1" applyAlignment="1">
      <alignment/>
    </xf>
    <xf numFmtId="188" fontId="4" fillId="0" borderId="0" xfId="0" applyNumberFormat="1" applyFont="1" applyAlignment="1">
      <alignment/>
    </xf>
    <xf numFmtId="188" fontId="4" fillId="0" borderId="5" xfId="17" applyNumberFormat="1" applyFont="1" applyBorder="1" applyAlignment="1">
      <alignment/>
    </xf>
    <xf numFmtId="190" fontId="4" fillId="0" borderId="0" xfId="17" applyNumberFormat="1" applyFont="1" applyBorder="1" applyAlignment="1" quotePrefix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190" fontId="4" fillId="0" borderId="6" xfId="17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189" fontId="4" fillId="0" borderId="8" xfId="17" applyNumberFormat="1" applyFont="1" applyBorder="1" applyAlignment="1">
      <alignment horizontal="center"/>
    </xf>
    <xf numFmtId="191" fontId="4" fillId="0" borderId="4" xfId="17" applyNumberFormat="1" applyFont="1" applyBorder="1" applyAlignment="1">
      <alignment horizontal="right"/>
    </xf>
    <xf numFmtId="192" fontId="4" fillId="0" borderId="4" xfId="17" applyNumberFormat="1" applyFont="1" applyBorder="1" applyAlignment="1">
      <alignment horizontal="center"/>
    </xf>
    <xf numFmtId="43" fontId="4" fillId="0" borderId="0" xfId="17" applyFont="1" applyBorder="1" applyAlignment="1">
      <alignment/>
    </xf>
    <xf numFmtId="0" fontId="7" fillId="0" borderId="0" xfId="0" applyFont="1" applyAlignment="1">
      <alignment/>
    </xf>
    <xf numFmtId="43" fontId="4" fillId="0" borderId="9" xfId="17" applyFont="1" applyBorder="1" applyAlignment="1">
      <alignment/>
    </xf>
    <xf numFmtId="43" fontId="4" fillId="0" borderId="10" xfId="17" applyFont="1" applyBorder="1" applyAlignment="1">
      <alignment/>
    </xf>
    <xf numFmtId="43" fontId="4" fillId="0" borderId="7" xfId="17" applyFont="1" applyBorder="1" applyAlignment="1">
      <alignment/>
    </xf>
    <xf numFmtId="43" fontId="4" fillId="0" borderId="11" xfId="17" applyFont="1" applyBorder="1" applyAlignment="1">
      <alignment/>
    </xf>
    <xf numFmtId="43" fontId="4" fillId="0" borderId="5" xfId="17" applyFont="1" applyBorder="1" applyAlignment="1">
      <alignment/>
    </xf>
    <xf numFmtId="43" fontId="4" fillId="0" borderId="12" xfId="17" applyFont="1" applyBorder="1" applyAlignment="1">
      <alignment/>
    </xf>
    <xf numFmtId="43" fontId="4" fillId="0" borderId="13" xfId="17" applyFont="1" applyBorder="1" applyAlignment="1">
      <alignment/>
    </xf>
    <xf numFmtId="43" fontId="4" fillId="0" borderId="14" xfId="17" applyFont="1" applyBorder="1" applyAlignment="1">
      <alignment/>
    </xf>
    <xf numFmtId="0" fontId="4" fillId="0" borderId="6" xfId="0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4" fontId="4" fillId="0" borderId="11" xfId="0" applyNumberFormat="1" applyFont="1" applyBorder="1" applyAlignment="1">
      <alignment/>
    </xf>
    <xf numFmtId="194" fontId="4" fillId="0" borderId="0" xfId="0" applyNumberFormat="1" applyFont="1" applyAlignment="1" quotePrefix="1">
      <alignment horizontal="right"/>
    </xf>
    <xf numFmtId="43" fontId="4" fillId="0" borderId="11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43" fontId="4" fillId="0" borderId="15" xfId="17" applyFont="1" applyBorder="1" applyAlignment="1">
      <alignment/>
    </xf>
    <xf numFmtId="43" fontId="4" fillId="0" borderId="13" xfId="0" applyNumberFormat="1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4" fillId="0" borderId="0" xfId="17" applyFont="1" applyAlignment="1">
      <alignment horizontal="center"/>
    </xf>
    <xf numFmtId="43" fontId="4" fillId="0" borderId="0" xfId="17" applyFont="1" applyAlignment="1">
      <alignment/>
    </xf>
    <xf numFmtId="43" fontId="4" fillId="0" borderId="0" xfId="17" applyFont="1" applyAlignment="1" quotePrefix="1">
      <alignment horizontal="center"/>
    </xf>
    <xf numFmtId="43" fontId="4" fillId="0" borderId="0" xfId="0" applyNumberFormat="1" applyFont="1" applyBorder="1" applyAlignment="1" quotePrefix="1">
      <alignment horizontal="center"/>
    </xf>
    <xf numFmtId="194" fontId="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4" xfId="17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5" xfId="0" applyFont="1" applyBorder="1" applyAlignment="1">
      <alignment/>
    </xf>
    <xf numFmtId="0" fontId="7" fillId="0" borderId="15" xfId="0" applyFont="1" applyBorder="1" applyAlignment="1">
      <alignment/>
    </xf>
    <xf numFmtId="43" fontId="7" fillId="0" borderId="17" xfId="17" applyFont="1" applyBorder="1" applyAlignment="1">
      <alignment/>
    </xf>
    <xf numFmtId="43" fontId="7" fillId="0" borderId="6" xfId="17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3" xfId="17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17" applyFont="1" applyAlignment="1">
      <alignment/>
    </xf>
    <xf numFmtId="192" fontId="4" fillId="0" borderId="11" xfId="17" applyNumberFormat="1" applyFont="1" applyBorder="1" applyAlignment="1">
      <alignment horizontal="center"/>
    </xf>
    <xf numFmtId="189" fontId="4" fillId="0" borderId="11" xfId="17" applyNumberFormat="1" applyFont="1" applyBorder="1" applyAlignment="1">
      <alignment horizontal="center"/>
    </xf>
    <xf numFmtId="43" fontId="4" fillId="0" borderId="14" xfId="0" applyNumberFormat="1" applyFont="1" applyBorder="1" applyAlignment="1">
      <alignment/>
    </xf>
    <xf numFmtId="189" fontId="4" fillId="0" borderId="0" xfId="17" applyNumberFormat="1" applyFont="1" applyBorder="1" applyAlignment="1">
      <alignment horizontal="center"/>
    </xf>
    <xf numFmtId="0" fontId="4" fillId="0" borderId="0" xfId="0" applyFont="1" applyAlignment="1">
      <alignment/>
    </xf>
    <xf numFmtId="43" fontId="7" fillId="0" borderId="18" xfId="17" applyFont="1" applyBorder="1" applyAlignment="1">
      <alignment/>
    </xf>
    <xf numFmtId="43" fontId="12" fillId="0" borderId="6" xfId="17" applyFont="1" applyBorder="1" applyAlignment="1">
      <alignment/>
    </xf>
    <xf numFmtId="43" fontId="7" fillId="0" borderId="19" xfId="17" applyFont="1" applyBorder="1" applyAlignment="1">
      <alignment/>
    </xf>
    <xf numFmtId="0" fontId="7" fillId="0" borderId="3" xfId="0" applyFont="1" applyBorder="1" applyAlignment="1">
      <alignment/>
    </xf>
    <xf numFmtId="188" fontId="7" fillId="0" borderId="4" xfId="17" applyNumberFormat="1" applyFont="1" applyBorder="1" applyAlignment="1">
      <alignment horizontal="center"/>
    </xf>
    <xf numFmtId="188" fontId="7" fillId="0" borderId="6" xfId="17" applyNumberFormat="1" applyFont="1" applyBorder="1" applyAlignment="1">
      <alignment horizontal="center"/>
    </xf>
    <xf numFmtId="43" fontId="7" fillId="0" borderId="0" xfId="17" applyFont="1" applyBorder="1" applyAlignment="1">
      <alignment/>
    </xf>
    <xf numFmtId="0" fontId="7" fillId="0" borderId="20" xfId="0" applyFont="1" applyBorder="1" applyAlignment="1" quotePrefix="1">
      <alignment horizontal="center"/>
    </xf>
    <xf numFmtId="43" fontId="7" fillId="0" borderId="20" xfId="17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7" xfId="0" applyFont="1" applyBorder="1" applyAlignment="1">
      <alignment/>
    </xf>
    <xf numFmtId="196" fontId="4" fillId="0" borderId="4" xfId="17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21" xfId="0" applyFont="1" applyBorder="1" applyAlignment="1">
      <alignment/>
    </xf>
    <xf numFmtId="43" fontId="7" fillId="0" borderId="15" xfId="17" applyFont="1" applyBorder="1" applyAlignment="1">
      <alignment/>
    </xf>
    <xf numFmtId="0" fontId="12" fillId="0" borderId="0" xfId="0" applyFont="1" applyBorder="1" applyAlignment="1">
      <alignment/>
    </xf>
    <xf numFmtId="43" fontId="7" fillId="0" borderId="10" xfId="17" applyFont="1" applyBorder="1" applyAlignment="1">
      <alignment/>
    </xf>
    <xf numFmtId="43" fontId="4" fillId="0" borderId="13" xfId="0" applyNumberFormat="1" applyFont="1" applyBorder="1" applyAlignment="1">
      <alignment/>
    </xf>
    <xf numFmtId="190" fontId="4" fillId="0" borderId="3" xfId="17" applyNumberFormat="1" applyFont="1" applyBorder="1" applyAlignment="1">
      <alignment horizontal="right"/>
    </xf>
    <xf numFmtId="0" fontId="11" fillId="0" borderId="0" xfId="0" applyFont="1" applyAlignment="1">
      <alignment/>
    </xf>
    <xf numFmtId="194" fontId="4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87" fontId="7" fillId="0" borderId="18" xfId="0" applyNumberFormat="1" applyFont="1" applyBorder="1" applyAlignment="1" quotePrefix="1">
      <alignment horizontal="center"/>
    </xf>
    <xf numFmtId="43" fontId="7" fillId="0" borderId="23" xfId="17" applyFont="1" applyBorder="1" applyAlignment="1">
      <alignment/>
    </xf>
    <xf numFmtId="187" fontId="7" fillId="0" borderId="18" xfId="0" applyNumberFormat="1" applyFont="1" applyBorder="1" applyAlignment="1">
      <alignment horizontal="center"/>
    </xf>
    <xf numFmtId="187" fontId="7" fillId="0" borderId="23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1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0" xfId="0" applyFont="1" applyBorder="1" applyAlignment="1">
      <alignment/>
    </xf>
    <xf numFmtId="188" fontId="7" fillId="0" borderId="6" xfId="17" applyNumberFormat="1" applyFont="1" applyBorder="1" applyAlignment="1">
      <alignment/>
    </xf>
    <xf numFmtId="188" fontId="7" fillId="0" borderId="4" xfId="17" applyNumberFormat="1" applyFont="1" applyBorder="1" applyAlignment="1">
      <alignment/>
    </xf>
    <xf numFmtId="188" fontId="7" fillId="0" borderId="11" xfId="17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187" fontId="7" fillId="0" borderId="24" xfId="0" applyNumberFormat="1" applyFont="1" applyBorder="1" applyAlignment="1" quotePrefix="1">
      <alignment horizontal="center"/>
    </xf>
    <xf numFmtId="43" fontId="7" fillId="0" borderId="25" xfId="17" applyFont="1" applyBorder="1" applyAlignment="1">
      <alignment/>
    </xf>
    <xf numFmtId="0" fontId="18" fillId="0" borderId="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3" fontId="7" fillId="0" borderId="4" xfId="17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3" fontId="12" fillId="0" borderId="3" xfId="17" applyFont="1" applyBorder="1" applyAlignment="1">
      <alignment horizontal="center"/>
    </xf>
    <xf numFmtId="43" fontId="12" fillId="0" borderId="10" xfId="17" applyFont="1" applyBorder="1" applyAlignment="1">
      <alignment horizontal="center"/>
    </xf>
    <xf numFmtId="0" fontId="12" fillId="0" borderId="0" xfId="0" applyFont="1" applyAlignment="1">
      <alignment/>
    </xf>
    <xf numFmtId="43" fontId="12" fillId="0" borderId="20" xfId="17" applyFont="1" applyBorder="1" applyAlignment="1">
      <alignment horizontal="center"/>
    </xf>
    <xf numFmtId="43" fontId="12" fillId="0" borderId="2" xfId="17" applyFont="1" applyBorder="1" applyAlignment="1">
      <alignment horizontal="center"/>
    </xf>
    <xf numFmtId="0" fontId="12" fillId="0" borderId="24" xfId="0" applyFont="1" applyBorder="1" applyAlignment="1">
      <alignment/>
    </xf>
    <xf numFmtId="43" fontId="7" fillId="0" borderId="24" xfId="17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6" xfId="0" applyFont="1" applyBorder="1" applyAlignment="1">
      <alignment/>
    </xf>
    <xf numFmtId="43" fontId="7" fillId="0" borderId="26" xfId="17" applyFont="1" applyBorder="1" applyAlignment="1">
      <alignment/>
    </xf>
    <xf numFmtId="0" fontId="12" fillId="0" borderId="6" xfId="0" applyFont="1" applyBorder="1" applyAlignment="1">
      <alignment horizontal="center"/>
    </xf>
    <xf numFmtId="43" fontId="7" fillId="0" borderId="0" xfId="17" applyFont="1" applyAlignment="1">
      <alignment horizontal="center"/>
    </xf>
    <xf numFmtId="0" fontId="7" fillId="0" borderId="27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7" fillId="0" borderId="24" xfId="0" applyFont="1" applyBorder="1" applyAlignment="1">
      <alignment/>
    </xf>
    <xf numFmtId="43" fontId="12" fillId="0" borderId="5" xfId="17" applyFont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17" applyFont="1" applyBorder="1" applyAlignment="1">
      <alignment/>
    </xf>
    <xf numFmtId="0" fontId="12" fillId="0" borderId="0" xfId="0" applyFont="1" applyBorder="1" applyAlignment="1">
      <alignment horizontal="left"/>
    </xf>
    <xf numFmtId="43" fontId="7" fillId="0" borderId="0" xfId="0" applyNumberFormat="1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43" fontId="12" fillId="0" borderId="19" xfId="17" applyFont="1" applyBorder="1" applyAlignment="1">
      <alignment/>
    </xf>
    <xf numFmtId="0" fontId="7" fillId="0" borderId="18" xfId="0" applyFont="1" applyBorder="1" applyAlignment="1">
      <alignment horizontal="left"/>
    </xf>
    <xf numFmtId="43" fontId="12" fillId="0" borderId="18" xfId="17" applyFont="1" applyBorder="1" applyAlignment="1">
      <alignment/>
    </xf>
    <xf numFmtId="43" fontId="12" fillId="0" borderId="26" xfId="17" applyFont="1" applyBorder="1" applyAlignment="1">
      <alignment/>
    </xf>
    <xf numFmtId="0" fontId="7" fillId="0" borderId="26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3" fontId="7" fillId="0" borderId="0" xfId="17" applyFont="1" applyAlignment="1">
      <alignment/>
    </xf>
    <xf numFmtId="43" fontId="13" fillId="0" borderId="10" xfId="17" applyFont="1" applyBorder="1" applyAlignment="1">
      <alignment horizontal="center"/>
    </xf>
    <xf numFmtId="43" fontId="13" fillId="0" borderId="2" xfId="17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3" fontId="7" fillId="0" borderId="4" xfId="0" applyNumberFormat="1" applyFont="1" applyBorder="1" applyAlignment="1">
      <alignment/>
    </xf>
    <xf numFmtId="0" fontId="19" fillId="0" borderId="7" xfId="0" applyFont="1" applyBorder="1" applyAlignment="1">
      <alignment/>
    </xf>
    <xf numFmtId="188" fontId="7" fillId="0" borderId="4" xfId="17" applyNumberFormat="1" applyFont="1" applyBorder="1" applyAlignment="1" quotePrefix="1">
      <alignment horizontal="center"/>
    </xf>
    <xf numFmtId="43" fontId="7" fillId="0" borderId="4" xfId="17" applyFont="1" applyBorder="1" applyAlignment="1">
      <alignment horizontal="center"/>
    </xf>
    <xf numFmtId="43" fontId="7" fillId="0" borderId="4" xfId="17" applyFont="1" applyBorder="1" applyAlignment="1" quotePrefix="1">
      <alignment horizontal="center"/>
    </xf>
    <xf numFmtId="188" fontId="7" fillId="0" borderId="0" xfId="0" applyNumberFormat="1" applyFont="1" applyAlignment="1">
      <alignment/>
    </xf>
    <xf numFmtId="2" fontId="7" fillId="0" borderId="7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188" fontId="7" fillId="0" borderId="3" xfId="17" applyNumberFormat="1" applyFont="1" applyBorder="1" applyAlignment="1" quotePrefix="1">
      <alignment horizontal="center"/>
    </xf>
    <xf numFmtId="43" fontId="7" fillId="0" borderId="3" xfId="17" applyFont="1" applyBorder="1" applyAlignment="1" quotePrefix="1">
      <alignment horizontal="right"/>
    </xf>
    <xf numFmtId="43" fontId="7" fillId="0" borderId="6" xfId="17" applyFont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0" xfId="17" applyFont="1" applyBorder="1" applyAlignment="1">
      <alignment/>
    </xf>
    <xf numFmtId="43" fontId="7" fillId="0" borderId="0" xfId="17" applyFont="1" applyBorder="1" applyAlignment="1">
      <alignment horizontal="center"/>
    </xf>
    <xf numFmtId="44" fontId="7" fillId="0" borderId="0" xfId="19" applyFont="1" applyBorder="1" applyAlignment="1">
      <alignment/>
    </xf>
    <xf numFmtId="0" fontId="19" fillId="0" borderId="9" xfId="0" applyFont="1" applyBorder="1" applyAlignment="1">
      <alignment/>
    </xf>
    <xf numFmtId="43" fontId="7" fillId="0" borderId="6" xfId="17" applyFont="1" applyBorder="1" applyAlignment="1" quotePrefix="1">
      <alignment horizontal="center"/>
    </xf>
    <xf numFmtId="43" fontId="7" fillId="0" borderId="5" xfId="17" applyFont="1" applyBorder="1" applyAlignment="1">
      <alignment/>
    </xf>
    <xf numFmtId="188" fontId="7" fillId="0" borderId="5" xfId="17" applyNumberFormat="1" applyFont="1" applyBorder="1" applyAlignment="1">
      <alignment horizontal="center"/>
    </xf>
    <xf numFmtId="188" fontId="7" fillId="0" borderId="0" xfId="17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 quotePrefix="1">
      <alignment horizontal="center"/>
    </xf>
    <xf numFmtId="43" fontId="7" fillId="0" borderId="3" xfId="17" applyFont="1" applyBorder="1" applyAlignment="1">
      <alignment horizontal="center"/>
    </xf>
    <xf numFmtId="43" fontId="7" fillId="0" borderId="20" xfId="17" applyFont="1" applyBorder="1" applyAlignment="1">
      <alignment horizontal="center"/>
    </xf>
    <xf numFmtId="0" fontId="20" fillId="0" borderId="7" xfId="0" applyFont="1" applyBorder="1" applyAlignment="1">
      <alignment/>
    </xf>
    <xf numFmtId="0" fontId="19" fillId="0" borderId="11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21" fillId="0" borderId="11" xfId="0" applyFont="1" applyBorder="1" applyAlignment="1">
      <alignment/>
    </xf>
    <xf numFmtId="43" fontId="7" fillId="0" borderId="24" xfId="0" applyNumberFormat="1" applyFont="1" applyBorder="1" applyAlignment="1">
      <alignment/>
    </xf>
    <xf numFmtId="43" fontId="7" fillId="0" borderId="18" xfId="0" applyNumberFormat="1" applyFont="1" applyBorder="1" applyAlignment="1">
      <alignment/>
    </xf>
    <xf numFmtId="188" fontId="4" fillId="0" borderId="11" xfId="17" applyNumberFormat="1" applyFont="1" applyBorder="1" applyAlignment="1">
      <alignment/>
    </xf>
    <xf numFmtId="188" fontId="4" fillId="0" borderId="11" xfId="17" applyNumberFormat="1" applyFont="1" applyBorder="1" applyAlignment="1" quotePrefix="1">
      <alignment horizontal="center"/>
    </xf>
    <xf numFmtId="188" fontId="4" fillId="0" borderId="5" xfId="17" applyNumberFormat="1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188" fontId="4" fillId="0" borderId="0" xfId="17" applyNumberFormat="1" applyFont="1" applyAlignment="1">
      <alignment/>
    </xf>
    <xf numFmtId="188" fontId="4" fillId="0" borderId="0" xfId="17" applyNumberFormat="1" applyFont="1" applyAlignment="1">
      <alignment horizontal="center"/>
    </xf>
    <xf numFmtId="0" fontId="11" fillId="0" borderId="0" xfId="0" applyFont="1" applyAlignment="1">
      <alignment horizontal="center"/>
    </xf>
    <xf numFmtId="188" fontId="4" fillId="0" borderId="9" xfId="17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88" fontId="4" fillId="0" borderId="10" xfId="17" applyNumberFormat="1" applyFont="1" applyBorder="1" applyAlignment="1">
      <alignment/>
    </xf>
    <xf numFmtId="188" fontId="4" fillId="0" borderId="3" xfId="17" applyNumberFormat="1" applyFont="1" applyBorder="1" applyAlignment="1">
      <alignment horizontal="center"/>
    </xf>
    <xf numFmtId="188" fontId="4" fillId="0" borderId="7" xfId="17" applyNumberFormat="1" applyFont="1" applyBorder="1" applyAlignment="1">
      <alignment/>
    </xf>
    <xf numFmtId="188" fontId="4" fillId="0" borderId="28" xfId="17" applyNumberFormat="1" applyFont="1" applyBorder="1" applyAlignment="1">
      <alignment/>
    </xf>
    <xf numFmtId="189" fontId="4" fillId="0" borderId="29" xfId="0" applyNumberFormat="1" applyFont="1" applyBorder="1" applyAlignment="1">
      <alignment horizontal="center"/>
    </xf>
    <xf numFmtId="188" fontId="4" fillId="0" borderId="4" xfId="17" applyNumberFormat="1" applyFont="1" applyBorder="1" applyAlignment="1">
      <alignment horizontal="center"/>
    </xf>
    <xf numFmtId="189" fontId="4" fillId="0" borderId="4" xfId="0" applyNumberFormat="1" applyFont="1" applyBorder="1" applyAlignment="1">
      <alignment horizontal="center"/>
    </xf>
    <xf numFmtId="43" fontId="4" fillId="0" borderId="4" xfId="17" applyFont="1" applyBorder="1" applyAlignment="1">
      <alignment horizontal="center"/>
    </xf>
    <xf numFmtId="188" fontId="4" fillId="0" borderId="4" xfId="17" applyNumberFormat="1" applyFont="1" applyBorder="1" applyAlignment="1">
      <alignment/>
    </xf>
    <xf numFmtId="188" fontId="4" fillId="0" borderId="20" xfId="17" applyNumberFormat="1" applyFont="1" applyBorder="1" applyAlignment="1">
      <alignment/>
    </xf>
    <xf numFmtId="189" fontId="4" fillId="0" borderId="20" xfId="0" applyNumberFormat="1" applyFont="1" applyBorder="1" applyAlignment="1">
      <alignment horizontal="center"/>
    </xf>
    <xf numFmtId="188" fontId="4" fillId="0" borderId="16" xfId="17" applyNumberFormat="1" applyFont="1" applyBorder="1" applyAlignment="1">
      <alignment/>
    </xf>
    <xf numFmtId="0" fontId="4" fillId="0" borderId="20" xfId="0" applyFont="1" applyBorder="1" applyAlignment="1">
      <alignment/>
    </xf>
    <xf numFmtId="188" fontId="4" fillId="0" borderId="2" xfId="17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43" fontId="7" fillId="0" borderId="32" xfId="17" applyFont="1" applyBorder="1" applyAlignment="1">
      <alignment/>
    </xf>
    <xf numFmtId="43" fontId="14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33" xfId="17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7" xfId="17" applyFont="1" applyBorder="1" applyAlignment="1">
      <alignment/>
    </xf>
    <xf numFmtId="43" fontId="7" fillId="0" borderId="4" xfId="17" applyFont="1" applyBorder="1" applyAlignment="1" quotePrefix="1">
      <alignment horizontal="right"/>
    </xf>
    <xf numFmtId="43" fontId="7" fillId="0" borderId="6" xfId="17" applyFont="1" applyBorder="1" applyAlignment="1">
      <alignment horizontal="right"/>
    </xf>
    <xf numFmtId="188" fontId="7" fillId="0" borderId="6" xfId="17" applyNumberFormat="1" applyFont="1" applyBorder="1" applyAlignment="1" quotePrefix="1">
      <alignment horizontal="center"/>
    </xf>
    <xf numFmtId="43" fontId="7" fillId="0" borderId="0" xfId="17" applyFont="1" applyBorder="1" applyAlignment="1" quotePrefix="1">
      <alignment horizontal="right"/>
    </xf>
    <xf numFmtId="0" fontId="19" fillId="0" borderId="16" xfId="0" applyFont="1" applyBorder="1" applyAlignment="1">
      <alignment/>
    </xf>
    <xf numFmtId="43" fontId="7" fillId="0" borderId="2" xfId="17" applyFont="1" applyBorder="1" applyAlignment="1">
      <alignment/>
    </xf>
    <xf numFmtId="0" fontId="19" fillId="0" borderId="0" xfId="0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43" fontId="7" fillId="0" borderId="9" xfId="17" applyFont="1" applyBorder="1" applyAlignment="1">
      <alignment/>
    </xf>
    <xf numFmtId="43" fontId="7" fillId="0" borderId="11" xfId="17" applyFont="1" applyBorder="1" applyAlignment="1">
      <alignment/>
    </xf>
    <xf numFmtId="0" fontId="12" fillId="0" borderId="6" xfId="0" applyFont="1" applyBorder="1" applyAlignment="1">
      <alignment/>
    </xf>
    <xf numFmtId="43" fontId="12" fillId="0" borderId="6" xfId="0" applyNumberFormat="1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3" fontId="12" fillId="0" borderId="24" xfId="0" applyNumberFormat="1" applyFont="1" applyBorder="1" applyAlignment="1">
      <alignment/>
    </xf>
    <xf numFmtId="43" fontId="12" fillId="0" borderId="24" xfId="17" applyFont="1" applyBorder="1" applyAlignment="1">
      <alignment/>
    </xf>
    <xf numFmtId="43" fontId="7" fillId="0" borderId="21" xfId="17" applyFont="1" applyBorder="1" applyAlignment="1">
      <alignment/>
    </xf>
    <xf numFmtId="0" fontId="7" fillId="0" borderId="19" xfId="0" applyFont="1" applyBorder="1" applyAlignment="1">
      <alignment/>
    </xf>
    <xf numFmtId="187" fontId="7" fillId="0" borderId="19" xfId="0" applyNumberFormat="1" applyFont="1" applyBorder="1" applyAlignment="1" quotePrefix="1">
      <alignment horizontal="center"/>
    </xf>
    <xf numFmtId="0" fontId="12" fillId="0" borderId="24" xfId="0" applyFont="1" applyBorder="1" applyAlignment="1">
      <alignment horizontal="center"/>
    </xf>
    <xf numFmtId="43" fontId="12" fillId="0" borderId="24" xfId="17" applyFont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187" fontId="7" fillId="0" borderId="24" xfId="0" applyNumberFormat="1" applyFont="1" applyBorder="1" applyAlignment="1">
      <alignment horizontal="center" vertical="center"/>
    </xf>
    <xf numFmtId="43" fontId="7" fillId="0" borderId="24" xfId="17" applyFont="1" applyBorder="1" applyAlignment="1">
      <alignment horizontal="center"/>
    </xf>
    <xf numFmtId="188" fontId="4" fillId="0" borderId="6" xfId="17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2" fillId="0" borderId="34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7" fillId="0" borderId="34" xfId="0" applyFont="1" applyBorder="1" applyAlignment="1">
      <alignment horizontal="left"/>
    </xf>
    <xf numFmtId="0" fontId="12" fillId="0" borderId="34" xfId="0" applyFont="1" applyBorder="1" applyAlignment="1">
      <alignment horizontal="center"/>
    </xf>
    <xf numFmtId="43" fontId="12" fillId="2" borderId="6" xfId="17" applyFont="1" applyFill="1" applyBorder="1" applyAlignment="1">
      <alignment/>
    </xf>
    <xf numFmtId="188" fontId="12" fillId="0" borderId="6" xfId="17" applyNumberFormat="1" applyFont="1" applyBorder="1" applyAlignment="1">
      <alignment/>
    </xf>
    <xf numFmtId="43" fontId="12" fillId="0" borderId="6" xfId="17" applyFont="1" applyBorder="1" applyAlignment="1">
      <alignment horizontal="center"/>
    </xf>
    <xf numFmtId="0" fontId="4" fillId="0" borderId="36" xfId="0" applyFont="1" applyBorder="1" applyAlignment="1">
      <alignment/>
    </xf>
    <xf numFmtId="0" fontId="5" fillId="0" borderId="34" xfId="0" applyFont="1" applyBorder="1" applyAlignment="1">
      <alignment horizontal="center"/>
    </xf>
    <xf numFmtId="43" fontId="7" fillId="0" borderId="9" xfId="17" applyFont="1" applyBorder="1" applyAlignment="1">
      <alignment horizontal="center" vertical="center"/>
    </xf>
    <xf numFmtId="43" fontId="7" fillId="0" borderId="16" xfId="17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43" fontId="4" fillId="0" borderId="6" xfId="17" applyFont="1" applyBorder="1" applyAlignment="1">
      <alignment/>
    </xf>
    <xf numFmtId="43" fontId="4" fillId="0" borderId="6" xfId="17" applyFont="1" applyFill="1" applyBorder="1" applyAlignment="1">
      <alignment/>
    </xf>
    <xf numFmtId="43" fontId="0" fillId="0" borderId="0" xfId="17" applyAlignment="1">
      <alignment/>
    </xf>
    <xf numFmtId="43" fontId="4" fillId="0" borderId="0" xfId="17" applyFont="1" applyAlignment="1">
      <alignment horizontal="right"/>
    </xf>
    <xf numFmtId="43" fontId="5" fillId="0" borderId="6" xfId="17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7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3" fontId="12" fillId="0" borderId="9" xfId="17" applyFont="1" applyBorder="1" applyAlignment="1">
      <alignment horizontal="center" vertical="center"/>
    </xf>
    <xf numFmtId="43" fontId="12" fillId="0" borderId="16" xfId="17" applyFont="1" applyBorder="1" applyAlignment="1">
      <alignment horizontal="center" vertical="center"/>
    </xf>
    <xf numFmtId="43" fontId="7" fillId="0" borderId="0" xfId="17" applyFont="1" applyBorder="1" applyAlignment="1">
      <alignment horizontal="center"/>
    </xf>
    <xf numFmtId="0" fontId="7" fillId="0" borderId="0" xfId="0" applyFont="1" applyAlignment="1">
      <alignment horizontal="left"/>
    </xf>
    <xf numFmtId="44" fontId="7" fillId="0" borderId="0" xfId="19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12" fillId="0" borderId="3" xfId="17" applyFont="1" applyBorder="1" applyAlignment="1">
      <alignment horizontal="center" vertical="center"/>
    </xf>
    <xf numFmtId="43" fontId="0" fillId="0" borderId="20" xfId="17" applyBorder="1" applyAlignment="1">
      <alignment horizontal="center" vertical="center"/>
    </xf>
    <xf numFmtId="43" fontId="12" fillId="0" borderId="20" xfId="17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3" fontId="9" fillId="0" borderId="20" xfId="17" applyFont="1" applyBorder="1" applyAlignment="1">
      <alignment horizontal="center" vertical="center"/>
    </xf>
    <xf numFmtId="188" fontId="7" fillId="0" borderId="0" xfId="17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8" fontId="4" fillId="0" borderId="0" xfId="17" applyNumberFormat="1" applyFont="1" applyAlignment="1">
      <alignment horizontal="center"/>
    </xf>
    <xf numFmtId="0" fontId="12" fillId="0" borderId="34" xfId="0" applyFont="1" applyBorder="1" applyAlignment="1">
      <alignment horizontal="left"/>
    </xf>
    <xf numFmtId="0" fontId="7" fillId="0" borderId="41" xfId="0" applyFont="1" applyBorder="1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3" fontId="4" fillId="0" borderId="45" xfId="17" applyFont="1" applyBorder="1" applyAlignment="1">
      <alignment horizontal="center" vertical="center"/>
    </xf>
    <xf numFmtId="43" fontId="4" fillId="0" borderId="46" xfId="17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43" fontId="12" fillId="2" borderId="20" xfId="17" applyFont="1" applyFill="1" applyBorder="1" applyAlignment="1">
      <alignment/>
    </xf>
    <xf numFmtId="188" fontId="12" fillId="2" borderId="20" xfId="17" applyNumberFormat="1" applyFont="1" applyFill="1" applyBorder="1" applyAlignment="1">
      <alignment/>
    </xf>
    <xf numFmtId="0" fontId="12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43" fontId="4" fillId="0" borderId="34" xfId="17" applyFont="1" applyBorder="1" applyAlignment="1">
      <alignment/>
    </xf>
    <xf numFmtId="43" fontId="5" fillId="0" borderId="34" xfId="17" applyFont="1" applyBorder="1" applyAlignment="1">
      <alignment/>
    </xf>
    <xf numFmtId="43" fontId="5" fillId="0" borderId="6" xfId="17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7"/>
  <sheetViews>
    <sheetView view="pageBreakPreview" zoomScaleSheetLayoutView="100" workbookViewId="0" topLeftCell="A55">
      <selection activeCell="A15" sqref="A15"/>
    </sheetView>
  </sheetViews>
  <sheetFormatPr defaultColWidth="9.140625" defaultRowHeight="21.75" customHeight="1"/>
  <cols>
    <col min="1" max="1" width="50.7109375" style="49" customWidth="1"/>
    <col min="2" max="2" width="9.140625" style="49" customWidth="1"/>
    <col min="3" max="3" width="14.140625" style="49" customWidth="1"/>
    <col min="4" max="4" width="15.57421875" style="49" customWidth="1"/>
    <col min="5" max="5" width="13.140625" style="49" customWidth="1"/>
    <col min="6" max="6" width="14.00390625" style="49" customWidth="1"/>
    <col min="7" max="7" width="14.421875" style="49" customWidth="1"/>
    <col min="8" max="9" width="14.00390625" style="96" customWidth="1"/>
    <col min="10" max="10" width="13.421875" style="96" customWidth="1"/>
    <col min="11" max="16384" width="9.140625" style="49" customWidth="1"/>
  </cols>
  <sheetData>
    <row r="3" spans="1:10" ht="21.75" customHeight="1">
      <c r="A3" s="321" t="s">
        <v>625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21.75" customHeight="1">
      <c r="A4" s="322" t="s">
        <v>465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s="159" customFormat="1" ht="21.75" customHeight="1">
      <c r="A5" s="323" t="s">
        <v>26</v>
      </c>
      <c r="B5" s="323" t="s">
        <v>27</v>
      </c>
      <c r="C5" s="326" t="s">
        <v>28</v>
      </c>
      <c r="D5" s="326"/>
      <c r="E5" s="326" t="s">
        <v>626</v>
      </c>
      <c r="F5" s="326"/>
      <c r="G5" s="326" t="s">
        <v>626</v>
      </c>
      <c r="H5" s="326"/>
      <c r="I5" s="326" t="s">
        <v>569</v>
      </c>
      <c r="J5" s="326"/>
    </row>
    <row r="6" spans="1:10" s="159" customFormat="1" ht="21.75" customHeight="1">
      <c r="A6" s="324"/>
      <c r="B6" s="324"/>
      <c r="C6" s="327" t="s">
        <v>567</v>
      </c>
      <c r="D6" s="327"/>
      <c r="E6" s="327" t="s">
        <v>627</v>
      </c>
      <c r="F6" s="327"/>
      <c r="G6" s="327" t="s">
        <v>628</v>
      </c>
      <c r="H6" s="327"/>
      <c r="I6" s="327" t="s">
        <v>567</v>
      </c>
      <c r="J6" s="327"/>
    </row>
    <row r="7" spans="1:10" s="159" customFormat="1" ht="21.75" customHeight="1">
      <c r="A7" s="325"/>
      <c r="B7" s="325"/>
      <c r="C7" s="172" t="s">
        <v>29</v>
      </c>
      <c r="D7" s="172" t="s">
        <v>30</v>
      </c>
      <c r="E7" s="172" t="s">
        <v>29</v>
      </c>
      <c r="F7" s="172" t="s">
        <v>30</v>
      </c>
      <c r="G7" s="172" t="s">
        <v>29</v>
      </c>
      <c r="H7" s="160" t="s">
        <v>30</v>
      </c>
      <c r="I7" s="160" t="s">
        <v>29</v>
      </c>
      <c r="J7" s="160" t="s">
        <v>30</v>
      </c>
    </row>
    <row r="8" spans="1:10" s="159" customFormat="1" ht="21.75" customHeight="1">
      <c r="A8" s="283" t="s">
        <v>31</v>
      </c>
      <c r="B8" s="284">
        <v>10</v>
      </c>
      <c r="C8" s="285">
        <v>400</v>
      </c>
      <c r="D8" s="281"/>
      <c r="E8" s="281"/>
      <c r="F8" s="281"/>
      <c r="G8" s="281"/>
      <c r="H8" s="282"/>
      <c r="I8" s="285">
        <v>400</v>
      </c>
      <c r="J8" s="282"/>
    </row>
    <row r="9" spans="1:10" ht="21.75" customHeight="1">
      <c r="A9" s="279" t="s">
        <v>246</v>
      </c>
      <c r="B9" s="280" t="s">
        <v>33</v>
      </c>
      <c r="C9" s="104">
        <v>2820436.86</v>
      </c>
      <c r="D9" s="279"/>
      <c r="E9" s="279"/>
      <c r="F9" s="279"/>
      <c r="G9" s="279"/>
      <c r="H9" s="104"/>
      <c r="I9" s="104">
        <v>2820436.86</v>
      </c>
      <c r="J9" s="104"/>
    </row>
    <row r="10" spans="1:10" ht="21.75" customHeight="1">
      <c r="A10" s="164" t="s">
        <v>247</v>
      </c>
      <c r="B10" s="125">
        <v>22</v>
      </c>
      <c r="C10" s="102">
        <v>272113.7</v>
      </c>
      <c r="D10" s="164"/>
      <c r="E10" s="164"/>
      <c r="F10" s="164"/>
      <c r="G10" s="164"/>
      <c r="H10" s="102"/>
      <c r="I10" s="102">
        <v>272113.7</v>
      </c>
      <c r="J10" s="102"/>
    </row>
    <row r="11" spans="1:10" ht="21.75" customHeight="1">
      <c r="A11" s="164" t="s">
        <v>248</v>
      </c>
      <c r="B11" s="125">
        <v>21</v>
      </c>
      <c r="C11" s="102">
        <v>0</v>
      </c>
      <c r="D11" s="164"/>
      <c r="E11" s="164"/>
      <c r="F11" s="164"/>
      <c r="G11" s="164"/>
      <c r="H11" s="102"/>
      <c r="I11" s="102">
        <v>0</v>
      </c>
      <c r="J11" s="102"/>
    </row>
    <row r="12" spans="1:10" ht="21.75" customHeight="1">
      <c r="A12" s="164" t="s">
        <v>262</v>
      </c>
      <c r="B12" s="125">
        <v>22</v>
      </c>
      <c r="C12" s="102">
        <v>7685630.08</v>
      </c>
      <c r="D12" s="164"/>
      <c r="E12" s="164"/>
      <c r="F12" s="164"/>
      <c r="G12" s="164"/>
      <c r="H12" s="102"/>
      <c r="I12" s="102">
        <v>7685630.08</v>
      </c>
      <c r="J12" s="102"/>
    </row>
    <row r="13" spans="1:10" ht="21.75" customHeight="1">
      <c r="A13" s="164" t="s">
        <v>266</v>
      </c>
      <c r="B13" s="125">
        <v>21</v>
      </c>
      <c r="C13" s="102">
        <v>3862395.89</v>
      </c>
      <c r="D13" s="164"/>
      <c r="E13" s="164"/>
      <c r="F13" s="164"/>
      <c r="G13" s="164"/>
      <c r="H13" s="102"/>
      <c r="I13" s="102">
        <v>3862395.89</v>
      </c>
      <c r="J13" s="102"/>
    </row>
    <row r="14" spans="1:10" ht="21.75" customHeight="1">
      <c r="A14" s="164" t="s">
        <v>47</v>
      </c>
      <c r="B14" s="125" t="s">
        <v>249</v>
      </c>
      <c r="C14" s="102">
        <v>424749.33</v>
      </c>
      <c r="D14" s="164"/>
      <c r="E14" s="102"/>
      <c r="F14" s="102">
        <f>583000+3605</f>
        <v>586605</v>
      </c>
      <c r="G14" s="164"/>
      <c r="H14" s="102">
        <v>421144.33</v>
      </c>
      <c r="I14" s="102"/>
      <c r="J14" s="102"/>
    </row>
    <row r="15" spans="1:10" ht="21.75" customHeight="1">
      <c r="A15" s="164" t="s">
        <v>37</v>
      </c>
      <c r="B15" s="127">
        <v>5100</v>
      </c>
      <c r="C15" s="102">
        <v>3006655</v>
      </c>
      <c r="D15" s="164"/>
      <c r="E15" s="102"/>
      <c r="F15" s="102"/>
      <c r="G15" s="164"/>
      <c r="H15" s="102">
        <v>3006655</v>
      </c>
      <c r="I15" s="102"/>
      <c r="J15" s="102"/>
    </row>
    <row r="16" spans="1:10" ht="21.75" customHeight="1">
      <c r="A16" s="164" t="s">
        <v>38</v>
      </c>
      <c r="B16" s="127">
        <v>5120</v>
      </c>
      <c r="C16" s="102">
        <v>106380</v>
      </c>
      <c r="D16" s="164"/>
      <c r="E16" s="102"/>
      <c r="F16" s="102"/>
      <c r="G16" s="164"/>
      <c r="H16" s="102">
        <v>106380</v>
      </c>
      <c r="I16" s="102"/>
      <c r="J16" s="102"/>
    </row>
    <row r="17" spans="1:10" ht="21.75" customHeight="1">
      <c r="A17" s="164" t="s">
        <v>39</v>
      </c>
      <c r="B17" s="127">
        <v>5130</v>
      </c>
      <c r="C17" s="102">
        <v>372340</v>
      </c>
      <c r="D17" s="164"/>
      <c r="E17" s="102"/>
      <c r="F17" s="102">
        <v>16020</v>
      </c>
      <c r="G17" s="164"/>
      <c r="H17" s="102">
        <v>372340</v>
      </c>
      <c r="I17" s="102"/>
      <c r="J17" s="102"/>
    </row>
    <row r="18" spans="1:10" ht="21.75" customHeight="1">
      <c r="A18" s="164" t="s">
        <v>40</v>
      </c>
      <c r="B18" s="127">
        <v>5200</v>
      </c>
      <c r="C18" s="102">
        <v>650808.5</v>
      </c>
      <c r="D18" s="164"/>
      <c r="E18" s="164"/>
      <c r="F18" s="226"/>
      <c r="G18" s="164"/>
      <c r="H18" s="102">
        <v>650808.5</v>
      </c>
      <c r="I18" s="102"/>
      <c r="J18" s="102"/>
    </row>
    <row r="19" spans="1:10" ht="21.75" customHeight="1">
      <c r="A19" s="164" t="s">
        <v>41</v>
      </c>
      <c r="B19" s="127">
        <v>5250</v>
      </c>
      <c r="C19" s="102">
        <v>1451975</v>
      </c>
      <c r="D19" s="164"/>
      <c r="E19" s="164"/>
      <c r="F19" s="164"/>
      <c r="G19" s="164"/>
      <c r="H19" s="102">
        <v>1451975</v>
      </c>
      <c r="I19" s="102"/>
      <c r="J19" s="102"/>
    </row>
    <row r="20" spans="1:10" ht="21.75" customHeight="1">
      <c r="A20" s="164" t="s">
        <v>42</v>
      </c>
      <c r="B20" s="127">
        <v>5270</v>
      </c>
      <c r="C20" s="102">
        <v>1083781.8</v>
      </c>
      <c r="D20" s="164"/>
      <c r="E20" s="164"/>
      <c r="F20" s="102"/>
      <c r="G20" s="164"/>
      <c r="H20" s="102">
        <v>1083781.8</v>
      </c>
      <c r="I20" s="102"/>
      <c r="J20" s="102"/>
    </row>
    <row r="21" spans="1:10" ht="21.75" customHeight="1">
      <c r="A21" s="164" t="s">
        <v>43</v>
      </c>
      <c r="B21" s="127">
        <v>5300</v>
      </c>
      <c r="C21" s="102">
        <v>114913.94</v>
      </c>
      <c r="D21" s="164"/>
      <c r="E21" s="164"/>
      <c r="F21" s="164"/>
      <c r="G21" s="164"/>
      <c r="H21" s="102">
        <v>114913.94</v>
      </c>
      <c r="I21" s="102"/>
      <c r="J21" s="102"/>
    </row>
    <row r="22" spans="1:10" ht="21.75" customHeight="1">
      <c r="A22" s="164" t="s">
        <v>44</v>
      </c>
      <c r="B22" s="127">
        <v>5400</v>
      </c>
      <c r="C22" s="102">
        <v>1568246.32</v>
      </c>
      <c r="D22" s="164"/>
      <c r="E22" s="164"/>
      <c r="F22" s="164"/>
      <c r="G22" s="164"/>
      <c r="H22" s="102">
        <v>1568246.32</v>
      </c>
      <c r="I22" s="102"/>
      <c r="J22" s="102"/>
    </row>
    <row r="23" spans="1:10" ht="21.75" customHeight="1">
      <c r="A23" s="164" t="s">
        <v>271</v>
      </c>
      <c r="B23" s="127"/>
      <c r="C23" s="102">
        <v>2517500</v>
      </c>
      <c r="D23" s="164"/>
      <c r="E23" s="102">
        <f>466000+89500</f>
        <v>555500</v>
      </c>
      <c r="F23" s="164"/>
      <c r="G23" s="164"/>
      <c r="H23" s="102">
        <v>2607000</v>
      </c>
      <c r="I23" s="102"/>
      <c r="J23" s="102">
        <v>0</v>
      </c>
    </row>
    <row r="24" spans="1:10" ht="21.75" customHeight="1">
      <c r="A24" s="164" t="s">
        <v>291</v>
      </c>
      <c r="B24" s="127"/>
      <c r="C24" s="102">
        <v>1081000</v>
      </c>
      <c r="D24" s="164"/>
      <c r="E24" s="102">
        <f>117000+63000</f>
        <v>180000</v>
      </c>
      <c r="F24" s="164"/>
      <c r="G24" s="164"/>
      <c r="H24" s="102">
        <v>1144000</v>
      </c>
      <c r="I24" s="102"/>
      <c r="J24" s="102">
        <v>0</v>
      </c>
    </row>
    <row r="25" spans="1:10" ht="21.75" customHeight="1">
      <c r="A25" s="164" t="s">
        <v>45</v>
      </c>
      <c r="B25" s="127">
        <v>450</v>
      </c>
      <c r="C25" s="102">
        <v>802930</v>
      </c>
      <c r="D25" s="164"/>
      <c r="E25" s="164"/>
      <c r="F25" s="164"/>
      <c r="G25" s="164"/>
      <c r="H25" s="102">
        <v>802930</v>
      </c>
      <c r="I25" s="102"/>
      <c r="J25" s="102"/>
    </row>
    <row r="26" spans="1:10" s="117" customFormat="1" ht="21.75" customHeight="1">
      <c r="A26" s="167" t="s">
        <v>629</v>
      </c>
      <c r="B26" s="272"/>
      <c r="C26" s="273">
        <f>SUM(C8:C25)</f>
        <v>27822256.42</v>
      </c>
      <c r="D26" s="273">
        <f aca="true" t="shared" si="0" ref="D26:J26">SUM(D9:D25)</f>
        <v>0</v>
      </c>
      <c r="E26" s="273">
        <f t="shared" si="0"/>
        <v>735500</v>
      </c>
      <c r="F26" s="273">
        <f t="shared" si="0"/>
        <v>602625</v>
      </c>
      <c r="G26" s="273">
        <f t="shared" si="0"/>
        <v>0</v>
      </c>
      <c r="H26" s="103">
        <f t="shared" si="0"/>
        <v>13330174.89</v>
      </c>
      <c r="I26" s="103">
        <f>SUM(I8:I25)</f>
        <v>14640976.530000001</v>
      </c>
      <c r="J26" s="103">
        <f t="shared" si="0"/>
        <v>0</v>
      </c>
    </row>
    <row r="27" spans="1:10" ht="21.75" customHeight="1">
      <c r="A27" s="154" t="s">
        <v>24</v>
      </c>
      <c r="B27" s="328" t="s">
        <v>25</v>
      </c>
      <c r="C27" s="328"/>
      <c r="D27" s="328"/>
      <c r="E27" s="328" t="s">
        <v>25</v>
      </c>
      <c r="F27" s="328"/>
      <c r="G27" s="328"/>
      <c r="H27" s="329" t="s">
        <v>25</v>
      </c>
      <c r="I27" s="329"/>
      <c r="J27" s="329"/>
    </row>
    <row r="29" spans="1:10" ht="21.75" customHeight="1">
      <c r="A29" s="154" t="s">
        <v>630</v>
      </c>
      <c r="B29" s="328" t="s">
        <v>241</v>
      </c>
      <c r="C29" s="328"/>
      <c r="D29" s="328"/>
      <c r="E29" s="328" t="s">
        <v>242</v>
      </c>
      <c r="F29" s="328"/>
      <c r="G29" s="328"/>
      <c r="H29" s="329" t="s">
        <v>289</v>
      </c>
      <c r="I29" s="329"/>
      <c r="J29" s="329"/>
    </row>
    <row r="30" spans="1:10" ht="21.75" customHeight="1">
      <c r="A30" s="154" t="s">
        <v>631</v>
      </c>
      <c r="B30" s="328" t="s">
        <v>11</v>
      </c>
      <c r="C30" s="328"/>
      <c r="D30" s="328"/>
      <c r="E30" s="328" t="s">
        <v>12</v>
      </c>
      <c r="F30" s="328"/>
      <c r="G30" s="328"/>
      <c r="H30" s="329" t="s">
        <v>290</v>
      </c>
      <c r="I30" s="329"/>
      <c r="J30" s="329"/>
    </row>
    <row r="31" spans="1:10" ht="21.75" customHeight="1">
      <c r="A31" s="154"/>
      <c r="B31" s="154"/>
      <c r="C31" s="154"/>
      <c r="D31" s="154"/>
      <c r="E31" s="154"/>
      <c r="F31" s="154"/>
      <c r="G31" s="154"/>
      <c r="H31" s="168"/>
      <c r="I31" s="168"/>
      <c r="J31" s="168"/>
    </row>
    <row r="32" spans="1:10" ht="21.75" customHeight="1">
      <c r="A32" s="154"/>
      <c r="B32" s="154"/>
      <c r="C32" s="154"/>
      <c r="D32" s="154"/>
      <c r="E32" s="154"/>
      <c r="F32" s="154"/>
      <c r="G32" s="154"/>
      <c r="H32" s="168"/>
      <c r="I32" s="168"/>
      <c r="J32" s="168"/>
    </row>
    <row r="33" spans="1:10" ht="21.75" customHeight="1">
      <c r="A33" s="154"/>
      <c r="B33" s="154"/>
      <c r="C33" s="154"/>
      <c r="D33" s="154"/>
      <c r="E33" s="154"/>
      <c r="F33" s="154"/>
      <c r="G33" s="154"/>
      <c r="H33" s="168"/>
      <c r="I33" s="168"/>
      <c r="J33" s="168"/>
    </row>
    <row r="34" spans="1:10" ht="21.75" customHeight="1">
      <c r="A34" s="154"/>
      <c r="B34" s="154"/>
      <c r="C34" s="154"/>
      <c r="D34" s="154"/>
      <c r="E34" s="154"/>
      <c r="F34" s="154"/>
      <c r="G34" s="154"/>
      <c r="H34" s="168"/>
      <c r="I34" s="168"/>
      <c r="J34" s="168"/>
    </row>
    <row r="35" spans="1:10" s="159" customFormat="1" ht="21.75" customHeight="1">
      <c r="A35" s="323" t="s">
        <v>26</v>
      </c>
      <c r="B35" s="323" t="s">
        <v>27</v>
      </c>
      <c r="C35" s="326" t="s">
        <v>28</v>
      </c>
      <c r="D35" s="326"/>
      <c r="E35" s="326" t="s">
        <v>626</v>
      </c>
      <c r="F35" s="326"/>
      <c r="G35" s="326" t="s">
        <v>626</v>
      </c>
      <c r="H35" s="326"/>
      <c r="I35" s="326" t="s">
        <v>569</v>
      </c>
      <c r="J35" s="326"/>
    </row>
    <row r="36" spans="1:10" s="159" customFormat="1" ht="21.75" customHeight="1">
      <c r="A36" s="324"/>
      <c r="B36" s="324"/>
      <c r="C36" s="327" t="s">
        <v>570</v>
      </c>
      <c r="D36" s="327"/>
      <c r="E36" s="327" t="s">
        <v>627</v>
      </c>
      <c r="F36" s="327"/>
      <c r="G36" s="327" t="s">
        <v>628</v>
      </c>
      <c r="H36" s="327"/>
      <c r="I36" s="327" t="s">
        <v>570</v>
      </c>
      <c r="J36" s="327"/>
    </row>
    <row r="37" spans="1:10" s="194" customFormat="1" ht="21.75" customHeight="1">
      <c r="A37" s="325"/>
      <c r="B37" s="325"/>
      <c r="C37" s="172" t="s">
        <v>29</v>
      </c>
      <c r="D37" s="172" t="s">
        <v>30</v>
      </c>
      <c r="E37" s="172" t="s">
        <v>29</v>
      </c>
      <c r="F37" s="172" t="s">
        <v>30</v>
      </c>
      <c r="G37" s="172" t="s">
        <v>29</v>
      </c>
      <c r="H37" s="160" t="s">
        <v>30</v>
      </c>
      <c r="I37" s="160" t="s">
        <v>29</v>
      </c>
      <c r="J37" s="160" t="s">
        <v>30</v>
      </c>
    </row>
    <row r="38" spans="1:10" s="159" customFormat="1" ht="21.75" customHeight="1">
      <c r="A38" s="274" t="s">
        <v>1</v>
      </c>
      <c r="B38" s="275"/>
      <c r="C38" s="276">
        <f>SUM(C26)</f>
        <v>27822256.42</v>
      </c>
      <c r="D38" s="276">
        <f aca="true" t="shared" si="1" ref="D38:J38">SUM(D26)</f>
        <v>0</v>
      </c>
      <c r="E38" s="276">
        <f t="shared" si="1"/>
        <v>735500</v>
      </c>
      <c r="F38" s="276">
        <f t="shared" si="1"/>
        <v>602625</v>
      </c>
      <c r="G38" s="276">
        <f t="shared" si="1"/>
        <v>0</v>
      </c>
      <c r="H38" s="277">
        <f t="shared" si="1"/>
        <v>13330174.89</v>
      </c>
      <c r="I38" s="277">
        <f t="shared" si="1"/>
        <v>14640976.530000001</v>
      </c>
      <c r="J38" s="277">
        <f t="shared" si="1"/>
        <v>0</v>
      </c>
    </row>
    <row r="39" spans="1:10" ht="21.75" customHeight="1">
      <c r="A39" s="164" t="s">
        <v>46</v>
      </c>
      <c r="B39" s="127">
        <v>500</v>
      </c>
      <c r="C39" s="102">
        <v>734000</v>
      </c>
      <c r="D39" s="164"/>
      <c r="E39" s="164"/>
      <c r="F39" s="164"/>
      <c r="G39" s="164"/>
      <c r="H39" s="102">
        <v>734000</v>
      </c>
      <c r="I39" s="102"/>
      <c r="J39" s="102"/>
    </row>
    <row r="40" spans="1:10" ht="21.75" customHeight="1">
      <c r="A40" s="164" t="s">
        <v>293</v>
      </c>
      <c r="B40" s="127"/>
      <c r="C40" s="102"/>
      <c r="D40" s="126">
        <v>207885</v>
      </c>
      <c r="E40" s="164"/>
      <c r="F40" s="164"/>
      <c r="G40" s="164"/>
      <c r="H40" s="102"/>
      <c r="I40" s="102"/>
      <c r="J40" s="102">
        <v>207885</v>
      </c>
    </row>
    <row r="41" spans="1:10" ht="21.75" customHeight="1">
      <c r="A41" s="164" t="s">
        <v>325</v>
      </c>
      <c r="B41" s="127"/>
      <c r="C41" s="102"/>
      <c r="D41" s="126">
        <v>538860</v>
      </c>
      <c r="E41" s="164"/>
      <c r="F41" s="164"/>
      <c r="G41" s="164"/>
      <c r="H41" s="102"/>
      <c r="I41" s="102"/>
      <c r="J41" s="102">
        <v>538860</v>
      </c>
    </row>
    <row r="42" spans="1:10" ht="21.75" customHeight="1">
      <c r="A42" s="164" t="s">
        <v>288</v>
      </c>
      <c r="B42" s="127"/>
      <c r="C42" s="102"/>
      <c r="D42" s="126">
        <v>7500</v>
      </c>
      <c r="E42" s="164"/>
      <c r="F42" s="164"/>
      <c r="G42" s="164"/>
      <c r="H42" s="102"/>
      <c r="I42" s="102"/>
      <c r="J42" s="102">
        <v>7500</v>
      </c>
    </row>
    <row r="43" spans="1:10" ht="21.75" customHeight="1">
      <c r="A43" s="165" t="s">
        <v>237</v>
      </c>
      <c r="B43" s="127">
        <v>550</v>
      </c>
      <c r="C43" s="102">
        <v>20000</v>
      </c>
      <c r="D43" s="165"/>
      <c r="E43" s="166"/>
      <c r="F43" s="165"/>
      <c r="G43" s="165"/>
      <c r="H43" s="166">
        <v>20000</v>
      </c>
      <c r="I43" s="166"/>
      <c r="J43" s="166"/>
    </row>
    <row r="44" spans="1:10" ht="21.75" customHeight="1">
      <c r="A44" s="164" t="s">
        <v>251</v>
      </c>
      <c r="B44" s="127">
        <v>903</v>
      </c>
      <c r="C44" s="164"/>
      <c r="D44" s="126">
        <v>463159</v>
      </c>
      <c r="E44" s="164"/>
      <c r="F44" s="164"/>
      <c r="G44" s="164"/>
      <c r="H44" s="102"/>
      <c r="I44" s="102"/>
      <c r="J44" s="102">
        <v>463159</v>
      </c>
    </row>
    <row r="45" spans="1:10" ht="21.75" customHeight="1">
      <c r="A45" s="164" t="s">
        <v>252</v>
      </c>
      <c r="B45" s="127"/>
      <c r="C45" s="164"/>
      <c r="D45" s="126">
        <v>40871.15</v>
      </c>
      <c r="E45" s="164"/>
      <c r="F45" s="164"/>
      <c r="G45" s="164"/>
      <c r="H45" s="102"/>
      <c r="I45" s="102"/>
      <c r="J45" s="102">
        <v>40871.15</v>
      </c>
    </row>
    <row r="46" spans="1:10" ht="21.75" customHeight="1">
      <c r="A46" s="164" t="s">
        <v>48</v>
      </c>
      <c r="B46" s="127">
        <v>700</v>
      </c>
      <c r="C46" s="164"/>
      <c r="D46" s="126">
        <v>4778812.01</v>
      </c>
      <c r="E46" s="102"/>
      <c r="F46" s="102"/>
      <c r="G46" s="164"/>
      <c r="H46" s="102">
        <v>4373735.43</v>
      </c>
      <c r="I46" s="102"/>
      <c r="J46" s="102">
        <v>8059113.58</v>
      </c>
    </row>
    <row r="47" spans="1:10" ht="21.75" customHeight="1">
      <c r="A47" s="164" t="s">
        <v>51</v>
      </c>
      <c r="B47" s="128">
        <v>704</v>
      </c>
      <c r="C47" s="164"/>
      <c r="D47" s="126">
        <v>3766977.44</v>
      </c>
      <c r="E47" s="102"/>
      <c r="F47" s="102"/>
      <c r="G47" s="164"/>
      <c r="H47" s="102"/>
      <c r="I47" s="102"/>
      <c r="J47" s="102">
        <v>4860411.3</v>
      </c>
    </row>
    <row r="48" spans="1:10" ht="21.75" customHeight="1">
      <c r="A48" s="164" t="s">
        <v>253</v>
      </c>
      <c r="B48" s="127">
        <v>701</v>
      </c>
      <c r="C48" s="164"/>
      <c r="D48" s="126">
        <v>709313.7</v>
      </c>
      <c r="E48" s="164"/>
      <c r="F48" s="164"/>
      <c r="G48" s="164"/>
      <c r="H48" s="102"/>
      <c r="I48" s="102"/>
      <c r="J48" s="102">
        <v>709313.7</v>
      </c>
    </row>
    <row r="49" spans="1:10" ht="21.75" customHeight="1">
      <c r="A49" s="164" t="s">
        <v>280</v>
      </c>
      <c r="B49" s="127">
        <v>701</v>
      </c>
      <c r="C49" s="102">
        <v>437200</v>
      </c>
      <c r="D49" s="126"/>
      <c r="E49" s="164"/>
      <c r="F49" s="164"/>
      <c r="G49" s="164"/>
      <c r="H49" s="102"/>
      <c r="I49" s="102">
        <v>437200</v>
      </c>
      <c r="J49" s="102"/>
    </row>
    <row r="50" spans="1:10" ht="21.75" customHeight="1">
      <c r="A50" s="164" t="s">
        <v>250</v>
      </c>
      <c r="B50" s="127">
        <v>821</v>
      </c>
      <c r="C50" s="102"/>
      <c r="D50" s="126">
        <v>18671157.32</v>
      </c>
      <c r="E50" s="164"/>
      <c r="F50" s="164"/>
      <c r="G50" s="102">
        <v>18671157.32</v>
      </c>
      <c r="H50" s="102"/>
      <c r="I50" s="102"/>
      <c r="J50" s="102"/>
    </row>
    <row r="51" spans="1:10" ht="21.75" customHeight="1">
      <c r="A51" s="164" t="s">
        <v>254</v>
      </c>
      <c r="B51" s="128">
        <v>906</v>
      </c>
      <c r="C51" s="102"/>
      <c r="D51" s="126">
        <v>2074</v>
      </c>
      <c r="E51" s="164"/>
      <c r="F51" s="164"/>
      <c r="G51" s="164"/>
      <c r="H51" s="102"/>
      <c r="I51" s="102"/>
      <c r="J51" s="102">
        <v>2074</v>
      </c>
    </row>
    <row r="52" spans="1:10" ht="21.75" customHeight="1">
      <c r="A52" s="164" t="s">
        <v>255</v>
      </c>
      <c r="B52" s="128">
        <v>907</v>
      </c>
      <c r="C52" s="102"/>
      <c r="D52" s="126">
        <v>2488.8</v>
      </c>
      <c r="E52" s="164"/>
      <c r="F52" s="164"/>
      <c r="G52" s="164"/>
      <c r="H52" s="102"/>
      <c r="I52" s="102"/>
      <c r="J52" s="102">
        <v>2488.8</v>
      </c>
    </row>
    <row r="53" spans="1:10" ht="21.75" customHeight="1">
      <c r="A53" s="164" t="s">
        <v>580</v>
      </c>
      <c r="B53" s="128">
        <v>902</v>
      </c>
      <c r="C53" s="102"/>
      <c r="D53" s="126"/>
      <c r="E53" s="164"/>
      <c r="F53" s="164"/>
      <c r="G53" s="164"/>
      <c r="H53" s="102"/>
      <c r="I53" s="102"/>
      <c r="J53" s="102"/>
    </row>
    <row r="54" spans="1:10" ht="21.75" customHeight="1">
      <c r="A54" s="164" t="s">
        <v>633</v>
      </c>
      <c r="B54" s="164"/>
      <c r="C54" s="102">
        <v>11395</v>
      </c>
      <c r="D54" s="126"/>
      <c r="E54" s="164"/>
      <c r="F54" s="164"/>
      <c r="G54" s="164"/>
      <c r="H54" s="102">
        <v>11395</v>
      </c>
      <c r="I54" s="102"/>
      <c r="J54" s="102"/>
    </row>
    <row r="55" spans="1:10" ht="21.75" customHeight="1">
      <c r="A55" s="164" t="s">
        <v>634</v>
      </c>
      <c r="B55" s="164"/>
      <c r="C55" s="278">
        <v>198247</v>
      </c>
      <c r="D55" s="102"/>
      <c r="E55" s="102">
        <f>16020+3605</f>
        <v>19625</v>
      </c>
      <c r="F55" s="164"/>
      <c r="G55" s="164"/>
      <c r="H55" s="102">
        <v>201852</v>
      </c>
      <c r="I55" s="102"/>
      <c r="J55" s="102"/>
    </row>
    <row r="56" spans="1:10" ht="21.75" customHeight="1">
      <c r="A56" s="164" t="s">
        <v>632</v>
      </c>
      <c r="B56" s="164"/>
      <c r="C56" s="278"/>
      <c r="D56" s="102">
        <v>34000</v>
      </c>
      <c r="E56" s="164"/>
      <c r="F56" s="102">
        <v>152500</v>
      </c>
      <c r="G56" s="164"/>
      <c r="H56" s="102"/>
      <c r="I56" s="102"/>
      <c r="J56" s="102">
        <v>186500</v>
      </c>
    </row>
    <row r="57" spans="1:10" ht="21.75" customHeight="1">
      <c r="A57" s="279"/>
      <c r="B57" s="279"/>
      <c r="C57" s="259"/>
      <c r="D57" s="83"/>
      <c r="E57" s="164"/>
      <c r="F57" s="164"/>
      <c r="G57" s="164"/>
      <c r="H57" s="102"/>
      <c r="I57" s="102"/>
      <c r="J57" s="102"/>
    </row>
    <row r="58" spans="1:10" s="159" customFormat="1" ht="21.75" customHeight="1">
      <c r="A58" s="272"/>
      <c r="B58" s="272"/>
      <c r="C58" s="273">
        <f>SUM(C38:C57)</f>
        <v>29223098.42</v>
      </c>
      <c r="D58" s="273">
        <f aca="true" t="shared" si="2" ref="D58:J58">SUM(D38:D57)</f>
        <v>29223098.419999998</v>
      </c>
      <c r="E58" s="273">
        <f t="shared" si="2"/>
        <v>755125</v>
      </c>
      <c r="F58" s="273">
        <f t="shared" si="2"/>
        <v>755125</v>
      </c>
      <c r="G58" s="273">
        <f t="shared" si="2"/>
        <v>18671157.32</v>
      </c>
      <c r="H58" s="103">
        <f t="shared" si="2"/>
        <v>18671157.32</v>
      </c>
      <c r="I58" s="103">
        <f t="shared" si="2"/>
        <v>15078176.530000001</v>
      </c>
      <c r="J58" s="103">
        <f t="shared" si="2"/>
        <v>15078176.530000001</v>
      </c>
    </row>
    <row r="59" ht="9.75" customHeight="1"/>
    <row r="60" spans="1:10" ht="21.75" customHeight="1">
      <c r="A60" s="154" t="s">
        <v>24</v>
      </c>
      <c r="B60" s="328" t="s">
        <v>25</v>
      </c>
      <c r="C60" s="328"/>
      <c r="D60" s="328"/>
      <c r="E60" s="328" t="s">
        <v>25</v>
      </c>
      <c r="F60" s="328"/>
      <c r="G60" s="328"/>
      <c r="H60" s="329" t="s">
        <v>25</v>
      </c>
      <c r="I60" s="329"/>
      <c r="J60" s="329"/>
    </row>
    <row r="62" spans="1:10" ht="21.75" customHeight="1">
      <c r="A62" s="154" t="s">
        <v>630</v>
      </c>
      <c r="B62" s="328" t="s">
        <v>241</v>
      </c>
      <c r="C62" s="328"/>
      <c r="D62" s="328"/>
      <c r="E62" s="328" t="s">
        <v>242</v>
      </c>
      <c r="F62" s="328"/>
      <c r="G62" s="328"/>
      <c r="H62" s="329" t="s">
        <v>289</v>
      </c>
      <c r="I62" s="329"/>
      <c r="J62" s="329"/>
    </row>
    <row r="63" spans="1:10" ht="21.75" customHeight="1">
      <c r="A63" s="154" t="s">
        <v>631</v>
      </c>
      <c r="B63" s="328" t="s">
        <v>11</v>
      </c>
      <c r="C63" s="328"/>
      <c r="D63" s="328"/>
      <c r="E63" s="328" t="s">
        <v>12</v>
      </c>
      <c r="F63" s="328"/>
      <c r="G63" s="328"/>
      <c r="H63" s="329" t="s">
        <v>290</v>
      </c>
      <c r="I63" s="329"/>
      <c r="J63" s="329"/>
    </row>
    <row r="65" ht="21.75" customHeight="1">
      <c r="H65" s="96">
        <f>18671157.32-H58</f>
        <v>0</v>
      </c>
    </row>
    <row r="67" ht="21.75" customHeight="1">
      <c r="D67" s="96"/>
    </row>
  </sheetData>
  <mergeCells count="40">
    <mergeCell ref="B63:D63"/>
    <mergeCell ref="E63:G63"/>
    <mergeCell ref="H63:J63"/>
    <mergeCell ref="B60:D60"/>
    <mergeCell ref="E60:G60"/>
    <mergeCell ref="H60:J60"/>
    <mergeCell ref="B62:D62"/>
    <mergeCell ref="E62:G62"/>
    <mergeCell ref="H62:J62"/>
    <mergeCell ref="G35:H35"/>
    <mergeCell ref="I35:J35"/>
    <mergeCell ref="C36:D36"/>
    <mergeCell ref="E36:F36"/>
    <mergeCell ref="G36:H36"/>
    <mergeCell ref="I36:J36"/>
    <mergeCell ref="A35:A37"/>
    <mergeCell ref="B35:B37"/>
    <mergeCell ref="C35:D35"/>
    <mergeCell ref="E35:F35"/>
    <mergeCell ref="B29:D29"/>
    <mergeCell ref="E29:G29"/>
    <mergeCell ref="H29:J29"/>
    <mergeCell ref="B30:D30"/>
    <mergeCell ref="E30:G30"/>
    <mergeCell ref="H30:J30"/>
    <mergeCell ref="G6:H6"/>
    <mergeCell ref="I6:J6"/>
    <mergeCell ref="B27:D27"/>
    <mergeCell ref="E27:G27"/>
    <mergeCell ref="H27:J27"/>
    <mergeCell ref="A3:J3"/>
    <mergeCell ref="A4:J4"/>
    <mergeCell ref="A5:A7"/>
    <mergeCell ref="B5:B7"/>
    <mergeCell ref="C5:D5"/>
    <mergeCell ref="E5:F5"/>
    <mergeCell ref="G5:H5"/>
    <mergeCell ref="I5:J5"/>
    <mergeCell ref="C6:D6"/>
    <mergeCell ref="E6:F6"/>
  </mergeCells>
  <printOptions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workbookViewId="0" topLeftCell="A1">
      <selection activeCell="B11" sqref="B11"/>
    </sheetView>
  </sheetViews>
  <sheetFormatPr defaultColWidth="9.140625" defaultRowHeight="12.75"/>
  <cols>
    <col min="1" max="1" width="26.140625" style="49" customWidth="1"/>
    <col min="2" max="2" width="15.140625" style="96" customWidth="1"/>
    <col min="3" max="3" width="14.421875" style="96" customWidth="1"/>
    <col min="4" max="4" width="18.8515625" style="96" customWidth="1"/>
    <col min="5" max="5" width="18.7109375" style="96" customWidth="1"/>
    <col min="6" max="6" width="26.140625" style="96" customWidth="1"/>
    <col min="7" max="7" width="23.00390625" style="96" customWidth="1"/>
    <col min="8" max="16384" width="9.140625" style="49" customWidth="1"/>
  </cols>
  <sheetData>
    <row r="1" spans="1:7" ht="23.25">
      <c r="A1" s="321" t="s">
        <v>245</v>
      </c>
      <c r="B1" s="321"/>
      <c r="C1" s="321"/>
      <c r="D1" s="321"/>
      <c r="E1" s="321"/>
      <c r="F1" s="321"/>
      <c r="G1" s="321"/>
    </row>
    <row r="2" spans="1:7" ht="23.25">
      <c r="A2" s="321" t="s">
        <v>351</v>
      </c>
      <c r="B2" s="321"/>
      <c r="C2" s="321"/>
      <c r="D2" s="321"/>
      <c r="E2" s="321"/>
      <c r="F2" s="321"/>
      <c r="G2" s="321"/>
    </row>
    <row r="3" spans="1:7" ht="23.25">
      <c r="A3" s="322" t="s">
        <v>344</v>
      </c>
      <c r="B3" s="322"/>
      <c r="C3" s="322"/>
      <c r="D3" s="322"/>
      <c r="E3" s="322"/>
      <c r="F3" s="322"/>
      <c r="G3" s="322"/>
    </row>
    <row r="4" spans="1:7" s="159" customFormat="1" ht="23.25">
      <c r="A4" s="323" t="s">
        <v>26</v>
      </c>
      <c r="B4" s="364" t="s">
        <v>53</v>
      </c>
      <c r="C4" s="364" t="s">
        <v>9</v>
      </c>
      <c r="D4" s="157" t="s">
        <v>328</v>
      </c>
      <c r="E4" s="158" t="s">
        <v>352</v>
      </c>
      <c r="F4" s="364" t="s">
        <v>353</v>
      </c>
      <c r="G4" s="157" t="s">
        <v>354</v>
      </c>
    </row>
    <row r="5" spans="1:7" s="159" customFormat="1" ht="23.25">
      <c r="A5" s="363"/>
      <c r="B5" s="365"/>
      <c r="C5" s="365"/>
      <c r="D5" s="160" t="s">
        <v>355</v>
      </c>
      <c r="E5" s="161" t="s">
        <v>356</v>
      </c>
      <c r="F5" s="365"/>
      <c r="G5" s="160" t="s">
        <v>357</v>
      </c>
    </row>
    <row r="6" spans="1:7" ht="23.25">
      <c r="A6" s="162" t="s">
        <v>223</v>
      </c>
      <c r="B6" s="163"/>
      <c r="C6" s="163"/>
      <c r="D6" s="163"/>
      <c r="E6" s="163"/>
      <c r="F6" s="163"/>
      <c r="G6" s="163"/>
    </row>
    <row r="7" spans="1:7" ht="23.25">
      <c r="A7" s="164" t="s">
        <v>332</v>
      </c>
      <c r="B7" s="102">
        <v>0</v>
      </c>
      <c r="C7" s="102">
        <f>SUM(D7:G7)</f>
        <v>0</v>
      </c>
      <c r="D7" s="102">
        <v>0</v>
      </c>
      <c r="E7" s="102">
        <v>0</v>
      </c>
      <c r="F7" s="102">
        <v>0</v>
      </c>
      <c r="G7" s="102">
        <v>0</v>
      </c>
    </row>
    <row r="8" spans="1:7" ht="23.25">
      <c r="A8" s="164" t="s">
        <v>333</v>
      </c>
      <c r="B8" s="102">
        <v>0</v>
      </c>
      <c r="C8" s="102">
        <f aca="true" t="shared" si="0" ref="C8:C18">SUM(D8:G8)</f>
        <v>0</v>
      </c>
      <c r="D8" s="102">
        <v>0</v>
      </c>
      <c r="E8" s="102">
        <v>0</v>
      </c>
      <c r="F8" s="102">
        <v>0</v>
      </c>
      <c r="G8" s="102">
        <v>0</v>
      </c>
    </row>
    <row r="9" spans="1:7" ht="23.25">
      <c r="A9" s="164" t="s">
        <v>334</v>
      </c>
      <c r="B9" s="102">
        <v>0</v>
      </c>
      <c r="C9" s="102">
        <f t="shared" si="0"/>
        <v>0</v>
      </c>
      <c r="D9" s="102">
        <v>0</v>
      </c>
      <c r="E9" s="102">
        <v>0</v>
      </c>
      <c r="F9" s="102">
        <v>0</v>
      </c>
      <c r="G9" s="102">
        <v>0</v>
      </c>
    </row>
    <row r="10" spans="1:9" ht="23.25">
      <c r="A10" s="164" t="s">
        <v>335</v>
      </c>
      <c r="B10" s="102">
        <v>0</v>
      </c>
      <c r="C10" s="102">
        <f t="shared" si="0"/>
        <v>0</v>
      </c>
      <c r="D10" s="102">
        <v>0</v>
      </c>
      <c r="E10" s="102">
        <v>0</v>
      </c>
      <c r="F10" s="102">
        <v>0</v>
      </c>
      <c r="G10" s="102">
        <v>0</v>
      </c>
      <c r="I10" s="49">
        <f>10000+60000+40000+100000+20000+6000+10000+20000+80000</f>
        <v>346000</v>
      </c>
    </row>
    <row r="11" spans="1:7" ht="23.25">
      <c r="A11" s="164" t="s">
        <v>336</v>
      </c>
      <c r="B11" s="102">
        <f>346000+100000-6600+20000</f>
        <v>459400</v>
      </c>
      <c r="C11" s="102">
        <f t="shared" si="0"/>
        <v>414920</v>
      </c>
      <c r="D11" s="102">
        <v>0</v>
      </c>
      <c r="E11" s="102">
        <f>80000+20000+100000</f>
        <v>200000</v>
      </c>
      <c r="F11" s="102">
        <f>60000+6700+100000+18270+10000+19950</f>
        <v>214920</v>
      </c>
      <c r="G11" s="102">
        <v>0</v>
      </c>
    </row>
    <row r="12" spans="1:7" ht="23.25">
      <c r="A12" s="164" t="s">
        <v>337</v>
      </c>
      <c r="B12" s="102">
        <v>50000</v>
      </c>
      <c r="C12" s="102">
        <f t="shared" si="0"/>
        <v>49982</v>
      </c>
      <c r="D12" s="102">
        <v>0</v>
      </c>
      <c r="E12" s="102">
        <v>49982</v>
      </c>
      <c r="F12" s="102">
        <v>0</v>
      </c>
      <c r="G12" s="102">
        <v>0</v>
      </c>
    </row>
    <row r="13" spans="1:7" ht="23.25">
      <c r="A13" s="164" t="s">
        <v>338</v>
      </c>
      <c r="B13" s="102"/>
      <c r="C13" s="102">
        <f t="shared" si="0"/>
        <v>0</v>
      </c>
      <c r="D13" s="102">
        <v>0</v>
      </c>
      <c r="E13" s="102">
        <v>0</v>
      </c>
      <c r="F13" s="102">
        <v>0</v>
      </c>
      <c r="G13" s="102">
        <v>0</v>
      </c>
    </row>
    <row r="14" spans="1:7" ht="23.25">
      <c r="A14" s="164" t="s">
        <v>339</v>
      </c>
      <c r="B14" s="102">
        <f>90000-20000</f>
        <v>70000</v>
      </c>
      <c r="C14" s="102">
        <f t="shared" si="0"/>
        <v>70000</v>
      </c>
      <c r="D14" s="102">
        <v>30000</v>
      </c>
      <c r="E14" s="102">
        <v>40000</v>
      </c>
      <c r="F14" s="102">
        <v>0</v>
      </c>
      <c r="G14" s="102">
        <v>0</v>
      </c>
    </row>
    <row r="15" spans="1:7" ht="23.25">
      <c r="A15" s="164" t="s">
        <v>340</v>
      </c>
      <c r="B15" s="102">
        <v>0</v>
      </c>
      <c r="C15" s="102">
        <f t="shared" si="0"/>
        <v>0</v>
      </c>
      <c r="D15" s="102">
        <v>0</v>
      </c>
      <c r="E15" s="102">
        <v>0</v>
      </c>
      <c r="F15" s="102">
        <v>0</v>
      </c>
      <c r="G15" s="102">
        <v>0</v>
      </c>
    </row>
    <row r="16" spans="1:7" ht="23.25">
      <c r="A16" s="164" t="s">
        <v>341</v>
      </c>
      <c r="B16" s="102">
        <v>0</v>
      </c>
      <c r="C16" s="102">
        <f t="shared" si="0"/>
        <v>0</v>
      </c>
      <c r="D16" s="102">
        <v>0</v>
      </c>
      <c r="E16" s="102">
        <v>0</v>
      </c>
      <c r="F16" s="102">
        <v>0</v>
      </c>
      <c r="G16" s="102">
        <v>0</v>
      </c>
    </row>
    <row r="17" spans="1:7" ht="23.25">
      <c r="A17" s="164" t="s">
        <v>342</v>
      </c>
      <c r="B17" s="102">
        <v>0</v>
      </c>
      <c r="C17" s="102">
        <f t="shared" si="0"/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ht="23.25">
      <c r="A18" s="165" t="s">
        <v>343</v>
      </c>
      <c r="B18" s="166">
        <v>0</v>
      </c>
      <c r="C18" s="102">
        <f t="shared" si="0"/>
        <v>0</v>
      </c>
      <c r="D18" s="166">
        <v>0</v>
      </c>
      <c r="E18" s="166">
        <v>0</v>
      </c>
      <c r="F18" s="166">
        <v>0</v>
      </c>
      <c r="G18" s="166">
        <v>0</v>
      </c>
    </row>
    <row r="19" spans="1:7" s="159" customFormat="1" ht="23.25">
      <c r="A19" s="167" t="s">
        <v>9</v>
      </c>
      <c r="B19" s="103">
        <f aca="true" t="shared" si="1" ref="B19:G19">SUM(B7:B18)</f>
        <v>579400</v>
      </c>
      <c r="C19" s="103">
        <f t="shared" si="1"/>
        <v>534902</v>
      </c>
      <c r="D19" s="103">
        <f t="shared" si="1"/>
        <v>30000</v>
      </c>
      <c r="E19" s="103">
        <f t="shared" si="1"/>
        <v>289982</v>
      </c>
      <c r="F19" s="103">
        <f t="shared" si="1"/>
        <v>214920</v>
      </c>
      <c r="G19" s="103">
        <f t="shared" si="1"/>
        <v>0</v>
      </c>
    </row>
    <row r="21" spans="1:7" ht="23.25">
      <c r="A21" s="328" t="s">
        <v>243</v>
      </c>
      <c r="B21" s="328"/>
      <c r="C21" s="329" t="s">
        <v>244</v>
      </c>
      <c r="D21" s="329"/>
      <c r="E21" s="329"/>
      <c r="F21" s="329" t="s">
        <v>244</v>
      </c>
      <c r="G21" s="329"/>
    </row>
    <row r="23" spans="1:7" ht="23.25">
      <c r="A23" s="328" t="s">
        <v>241</v>
      </c>
      <c r="B23" s="328"/>
      <c r="C23" s="329" t="s">
        <v>242</v>
      </c>
      <c r="D23" s="329"/>
      <c r="E23" s="329"/>
      <c r="F23" s="329" t="s">
        <v>289</v>
      </c>
      <c r="G23" s="329"/>
    </row>
    <row r="24" spans="1:7" ht="23.25">
      <c r="A24" s="328" t="s">
        <v>11</v>
      </c>
      <c r="B24" s="328"/>
      <c r="C24" s="329" t="s">
        <v>12</v>
      </c>
      <c r="D24" s="329"/>
      <c r="E24" s="329"/>
      <c r="F24" s="329" t="s">
        <v>290</v>
      </c>
      <c r="G24" s="329"/>
    </row>
    <row r="25" spans="6:7" ht="23.25">
      <c r="F25" s="329"/>
      <c r="G25" s="329"/>
    </row>
  </sheetData>
  <mergeCells count="17">
    <mergeCell ref="A1:G1"/>
    <mergeCell ref="A2:G2"/>
    <mergeCell ref="A3:G3"/>
    <mergeCell ref="A4:A5"/>
    <mergeCell ref="B4:B5"/>
    <mergeCell ref="C4:C5"/>
    <mergeCell ref="F4:F5"/>
    <mergeCell ref="A21:B21"/>
    <mergeCell ref="C21:E21"/>
    <mergeCell ref="F21:G21"/>
    <mergeCell ref="A23:B23"/>
    <mergeCell ref="C23:E23"/>
    <mergeCell ref="F23:G23"/>
    <mergeCell ref="A24:B24"/>
    <mergeCell ref="C24:E24"/>
    <mergeCell ref="F24:G24"/>
    <mergeCell ref="F25:G25"/>
  </mergeCells>
  <printOptions/>
  <pageMargins left="0" right="0" top="0.3937007874015748" bottom="0.3937007874015748" header="0.5118110236220472" footer="0.5118110236220472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1">
      <selection activeCell="B18" sqref="B18"/>
    </sheetView>
  </sheetViews>
  <sheetFormatPr defaultColWidth="9.140625" defaultRowHeight="12.75"/>
  <cols>
    <col min="1" max="1" width="26.140625" style="49" customWidth="1"/>
    <col min="2" max="2" width="17.7109375" style="96" customWidth="1"/>
    <col min="3" max="3" width="27.57421875" style="96" customWidth="1"/>
    <col min="4" max="4" width="26.7109375" style="96" customWidth="1"/>
    <col min="5" max="5" width="29.00390625" style="96" customWidth="1"/>
    <col min="6" max="16384" width="9.140625" style="49" customWidth="1"/>
  </cols>
  <sheetData>
    <row r="1" spans="1:5" ht="23.25">
      <c r="A1" s="321" t="s">
        <v>245</v>
      </c>
      <c r="B1" s="321"/>
      <c r="C1" s="321"/>
      <c r="D1" s="321"/>
      <c r="E1" s="321"/>
    </row>
    <row r="2" spans="1:5" ht="23.25">
      <c r="A2" s="321" t="s">
        <v>358</v>
      </c>
      <c r="B2" s="321"/>
      <c r="C2" s="321"/>
      <c r="D2" s="321"/>
      <c r="E2" s="321"/>
    </row>
    <row r="3" spans="1:5" ht="23.25">
      <c r="A3" s="322" t="s">
        <v>344</v>
      </c>
      <c r="B3" s="322"/>
      <c r="C3" s="322"/>
      <c r="D3" s="322"/>
      <c r="E3" s="322"/>
    </row>
    <row r="4" spans="1:5" s="159" customFormat="1" ht="23.25">
      <c r="A4" s="323" t="s">
        <v>26</v>
      </c>
      <c r="B4" s="364" t="s">
        <v>53</v>
      </c>
      <c r="C4" s="364" t="s">
        <v>9</v>
      </c>
      <c r="D4" s="364" t="s">
        <v>359</v>
      </c>
      <c r="E4" s="364" t="s">
        <v>360</v>
      </c>
    </row>
    <row r="5" spans="1:5" s="159" customFormat="1" ht="23.25">
      <c r="A5" s="363"/>
      <c r="B5" s="365"/>
      <c r="C5" s="365"/>
      <c r="D5" s="365"/>
      <c r="E5" s="365"/>
    </row>
    <row r="6" spans="1:5" ht="23.25">
      <c r="A6" s="162" t="s">
        <v>223</v>
      </c>
      <c r="B6" s="163"/>
      <c r="C6" s="163"/>
      <c r="D6" s="163"/>
      <c r="E6" s="163"/>
    </row>
    <row r="7" spans="1:5" ht="23.25">
      <c r="A7" s="164" t="s">
        <v>332</v>
      </c>
      <c r="B7" s="102">
        <v>0</v>
      </c>
      <c r="C7" s="102">
        <f aca="true" t="shared" si="0" ref="C7:C18">SUM(D7:E7)</f>
        <v>0</v>
      </c>
      <c r="D7" s="102">
        <v>0</v>
      </c>
      <c r="E7" s="102">
        <v>0</v>
      </c>
    </row>
    <row r="8" spans="1:5" ht="23.25">
      <c r="A8" s="164" t="s">
        <v>333</v>
      </c>
      <c r="B8" s="102">
        <v>0</v>
      </c>
      <c r="C8" s="102">
        <f t="shared" si="0"/>
        <v>0</v>
      </c>
      <c r="D8" s="102">
        <v>0</v>
      </c>
      <c r="E8" s="102">
        <v>0</v>
      </c>
    </row>
    <row r="9" spans="1:5" ht="23.25">
      <c r="A9" s="164" t="s">
        <v>334</v>
      </c>
      <c r="B9" s="102">
        <v>0</v>
      </c>
      <c r="C9" s="102">
        <f t="shared" si="0"/>
        <v>0</v>
      </c>
      <c r="D9" s="102">
        <v>0</v>
      </c>
      <c r="E9" s="102">
        <v>0</v>
      </c>
    </row>
    <row r="10" spans="1:5" ht="23.25">
      <c r="A10" s="164" t="s">
        <v>335</v>
      </c>
      <c r="B10" s="102">
        <v>0</v>
      </c>
      <c r="C10" s="102">
        <f t="shared" si="0"/>
        <v>0</v>
      </c>
      <c r="D10" s="102">
        <v>0</v>
      </c>
      <c r="E10" s="102">
        <v>0</v>
      </c>
    </row>
    <row r="11" spans="1:5" ht="23.25">
      <c r="A11" s="164" t="s">
        <v>336</v>
      </c>
      <c r="B11" s="102">
        <f>20000+30000</f>
        <v>50000</v>
      </c>
      <c r="C11" s="102">
        <f t="shared" si="0"/>
        <v>26900</v>
      </c>
      <c r="D11" s="102">
        <v>18450</v>
      </c>
      <c r="E11" s="102">
        <v>8450</v>
      </c>
    </row>
    <row r="12" spans="1:5" ht="23.25">
      <c r="A12" s="164" t="s">
        <v>337</v>
      </c>
      <c r="B12" s="102">
        <v>0</v>
      </c>
      <c r="C12" s="102">
        <f t="shared" si="0"/>
        <v>0</v>
      </c>
      <c r="D12" s="102">
        <v>0</v>
      </c>
      <c r="E12" s="102">
        <v>0</v>
      </c>
    </row>
    <row r="13" spans="1:5" ht="23.25">
      <c r="A13" s="164" t="s">
        <v>338</v>
      </c>
      <c r="B13" s="102">
        <v>0</v>
      </c>
      <c r="C13" s="102">
        <f t="shared" si="0"/>
        <v>0</v>
      </c>
      <c r="D13" s="102">
        <v>0</v>
      </c>
      <c r="E13" s="102">
        <v>0</v>
      </c>
    </row>
    <row r="14" spans="1:5" ht="23.25">
      <c r="A14" s="164" t="s">
        <v>339</v>
      </c>
      <c r="B14" s="102">
        <f>10000+10000+30000+20000+30000+10000+10000+30000-14000</f>
        <v>136000</v>
      </c>
      <c r="C14" s="102">
        <f t="shared" si="0"/>
        <v>0</v>
      </c>
      <c r="D14" s="102">
        <v>0</v>
      </c>
      <c r="E14" s="102">
        <v>0</v>
      </c>
    </row>
    <row r="15" spans="1:5" ht="23.25">
      <c r="A15" s="164" t="s">
        <v>340</v>
      </c>
      <c r="B15" s="102">
        <v>0</v>
      </c>
      <c r="C15" s="102">
        <f t="shared" si="0"/>
        <v>0</v>
      </c>
      <c r="D15" s="102">
        <v>0</v>
      </c>
      <c r="E15" s="102">
        <v>0</v>
      </c>
    </row>
    <row r="16" spans="1:5" ht="23.25">
      <c r="A16" s="164" t="s">
        <v>341</v>
      </c>
      <c r="B16" s="102">
        <v>0</v>
      </c>
      <c r="C16" s="102">
        <f t="shared" si="0"/>
        <v>0</v>
      </c>
      <c r="D16" s="102">
        <v>0</v>
      </c>
      <c r="E16" s="102">
        <v>0</v>
      </c>
    </row>
    <row r="17" spans="1:5" ht="23.25">
      <c r="A17" s="164" t="s">
        <v>342</v>
      </c>
      <c r="B17" s="102">
        <v>0</v>
      </c>
      <c r="C17" s="102">
        <f t="shared" si="0"/>
        <v>0</v>
      </c>
      <c r="D17" s="102">
        <v>0</v>
      </c>
      <c r="E17" s="102">
        <v>0</v>
      </c>
    </row>
    <row r="18" spans="1:5" ht="23.25">
      <c r="A18" s="165" t="s">
        <v>343</v>
      </c>
      <c r="B18" s="166">
        <v>348000</v>
      </c>
      <c r="C18" s="102">
        <f t="shared" si="0"/>
        <v>0</v>
      </c>
      <c r="D18" s="166">
        <v>0</v>
      </c>
      <c r="E18" s="166">
        <v>0</v>
      </c>
    </row>
    <row r="19" spans="1:5" s="159" customFormat="1" ht="23.25">
      <c r="A19" s="167" t="s">
        <v>9</v>
      </c>
      <c r="B19" s="103">
        <f>SUM(B7:B18)</f>
        <v>534000</v>
      </c>
      <c r="C19" s="103">
        <f>SUM(C7:C18)</f>
        <v>26900</v>
      </c>
      <c r="D19" s="103">
        <f>SUM(D7:D18)</f>
        <v>18450</v>
      </c>
      <c r="E19" s="103">
        <f>SUM(E7:E18)</f>
        <v>8450</v>
      </c>
    </row>
    <row r="20" ht="23.25" customHeight="1"/>
    <row r="21" spans="1:5" ht="23.25">
      <c r="A21" s="328" t="s">
        <v>243</v>
      </c>
      <c r="B21" s="328"/>
      <c r="C21" s="168" t="s">
        <v>244</v>
      </c>
      <c r="D21" s="329" t="s">
        <v>244</v>
      </c>
      <c r="E21" s="329"/>
    </row>
    <row r="23" spans="1:5" ht="23.25">
      <c r="A23" s="328" t="s">
        <v>241</v>
      </c>
      <c r="B23" s="328"/>
      <c r="C23" s="168" t="s">
        <v>242</v>
      </c>
      <c r="D23" s="329" t="s">
        <v>289</v>
      </c>
      <c r="E23" s="329"/>
    </row>
    <row r="24" spans="1:5" ht="23.25">
      <c r="A24" s="328" t="s">
        <v>11</v>
      </c>
      <c r="B24" s="328"/>
      <c r="C24" s="168" t="s">
        <v>12</v>
      </c>
      <c r="D24" s="329" t="s">
        <v>290</v>
      </c>
      <c r="E24" s="329"/>
    </row>
    <row r="25" spans="4:5" ht="23.25">
      <c r="D25" s="329"/>
      <c r="E25" s="329"/>
    </row>
  </sheetData>
  <mergeCells count="15">
    <mergeCell ref="A1:E1"/>
    <mergeCell ref="A2:E2"/>
    <mergeCell ref="A3:E3"/>
    <mergeCell ref="A4:A5"/>
    <mergeCell ref="B4:B5"/>
    <mergeCell ref="C4:C5"/>
    <mergeCell ref="D4:D5"/>
    <mergeCell ref="E4:E5"/>
    <mergeCell ref="A24:B24"/>
    <mergeCell ref="D24:E24"/>
    <mergeCell ref="D25:E25"/>
    <mergeCell ref="A21:B21"/>
    <mergeCell ref="D21:E21"/>
    <mergeCell ref="A23:B23"/>
    <mergeCell ref="D23:E23"/>
  </mergeCells>
  <printOptions/>
  <pageMargins left="0.15748031496062992" right="0.35433070866141736" top="0.3937007874015748" bottom="0.3937007874015748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26.140625" style="49" customWidth="1"/>
    <col min="2" max="2" width="15.140625" style="96" customWidth="1"/>
    <col min="3" max="3" width="29.00390625" style="96" customWidth="1"/>
    <col min="4" max="4" width="35.421875" style="96" customWidth="1"/>
    <col min="5" max="16384" width="9.140625" style="49" customWidth="1"/>
  </cols>
  <sheetData>
    <row r="1" spans="1:4" ht="23.25">
      <c r="A1" s="321" t="s">
        <v>245</v>
      </c>
      <c r="B1" s="321"/>
      <c r="C1" s="321"/>
      <c r="D1" s="321"/>
    </row>
    <row r="2" spans="1:4" ht="23.25">
      <c r="A2" s="321" t="s">
        <v>361</v>
      </c>
      <c r="B2" s="321"/>
      <c r="C2" s="321"/>
      <c r="D2" s="321"/>
    </row>
    <row r="3" spans="1:4" ht="23.25">
      <c r="A3" s="322" t="s">
        <v>344</v>
      </c>
      <c r="B3" s="322"/>
      <c r="C3" s="322"/>
      <c r="D3" s="322"/>
    </row>
    <row r="4" spans="1:4" s="159" customFormat="1" ht="23.25">
      <c r="A4" s="323" t="s">
        <v>26</v>
      </c>
      <c r="B4" s="364" t="s">
        <v>53</v>
      </c>
      <c r="C4" s="364" t="s">
        <v>9</v>
      </c>
      <c r="D4" s="364" t="s">
        <v>224</v>
      </c>
    </row>
    <row r="5" spans="1:4" s="159" customFormat="1" ht="23.25">
      <c r="A5" s="363"/>
      <c r="B5" s="365"/>
      <c r="C5" s="365"/>
      <c r="D5" s="365"/>
    </row>
    <row r="6" spans="1:4" ht="23.25">
      <c r="A6" s="162" t="s">
        <v>223</v>
      </c>
      <c r="B6" s="163"/>
      <c r="C6" s="163"/>
      <c r="D6" s="163"/>
    </row>
    <row r="7" spans="1:4" ht="23.25">
      <c r="A7" s="164" t="s">
        <v>332</v>
      </c>
      <c r="B7" s="102">
        <v>0</v>
      </c>
      <c r="C7" s="102">
        <f aca="true" t="shared" si="0" ref="C7:C18">SUM(D7:D7)</f>
        <v>0</v>
      </c>
      <c r="D7" s="102">
        <v>0</v>
      </c>
    </row>
    <row r="8" spans="1:4" ht="23.25">
      <c r="A8" s="164" t="s">
        <v>333</v>
      </c>
      <c r="B8" s="102">
        <v>0</v>
      </c>
      <c r="C8" s="102">
        <f t="shared" si="0"/>
        <v>0</v>
      </c>
      <c r="D8" s="102">
        <v>0</v>
      </c>
    </row>
    <row r="9" spans="1:4" ht="23.25">
      <c r="A9" s="164" t="s">
        <v>334</v>
      </c>
      <c r="B9" s="102">
        <v>0</v>
      </c>
      <c r="C9" s="102">
        <f t="shared" si="0"/>
        <v>0</v>
      </c>
      <c r="D9" s="102">
        <v>0</v>
      </c>
    </row>
    <row r="10" spans="1:4" ht="23.25">
      <c r="A10" s="164" t="s">
        <v>335</v>
      </c>
      <c r="B10" s="102">
        <v>0</v>
      </c>
      <c r="C10" s="102">
        <f t="shared" si="0"/>
        <v>0</v>
      </c>
      <c r="D10" s="102">
        <v>0</v>
      </c>
    </row>
    <row r="11" spans="1:4" ht="23.25">
      <c r="A11" s="164" t="s">
        <v>336</v>
      </c>
      <c r="B11" s="102">
        <v>0</v>
      </c>
      <c r="C11" s="102">
        <f t="shared" si="0"/>
        <v>0</v>
      </c>
      <c r="D11" s="102">
        <v>0</v>
      </c>
    </row>
    <row r="12" spans="1:4" ht="23.25">
      <c r="A12" s="164" t="s">
        <v>337</v>
      </c>
      <c r="B12" s="102">
        <v>0</v>
      </c>
      <c r="C12" s="102">
        <f t="shared" si="0"/>
        <v>0</v>
      </c>
      <c r="D12" s="102">
        <v>0</v>
      </c>
    </row>
    <row r="13" spans="1:4" ht="23.25">
      <c r="A13" s="164" t="s">
        <v>338</v>
      </c>
      <c r="B13" s="102">
        <v>0</v>
      </c>
      <c r="C13" s="102">
        <f t="shared" si="0"/>
        <v>0</v>
      </c>
      <c r="D13" s="102">
        <v>0</v>
      </c>
    </row>
    <row r="14" spans="1:4" ht="23.25">
      <c r="A14" s="164" t="s">
        <v>339</v>
      </c>
      <c r="B14" s="102">
        <v>0</v>
      </c>
      <c r="C14" s="102">
        <f t="shared" si="0"/>
        <v>0</v>
      </c>
      <c r="D14" s="102">
        <v>0</v>
      </c>
    </row>
    <row r="15" spans="1:4" ht="23.25">
      <c r="A15" s="164" t="s">
        <v>340</v>
      </c>
      <c r="B15" s="102">
        <v>0</v>
      </c>
      <c r="C15" s="102">
        <f t="shared" si="0"/>
        <v>0</v>
      </c>
      <c r="D15" s="102">
        <v>0</v>
      </c>
    </row>
    <row r="16" spans="1:5" ht="23.25">
      <c r="A16" s="164" t="s">
        <v>341</v>
      </c>
      <c r="B16" s="102">
        <f>1665765+43620-163360-480-182040-100000-50000</f>
        <v>1213505</v>
      </c>
      <c r="C16" s="102">
        <f t="shared" si="0"/>
        <v>421144.33</v>
      </c>
      <c r="D16" s="102">
        <f>174500+72612.33+49817+43620+78200+6000-3605</f>
        <v>421144.33</v>
      </c>
      <c r="E16" s="95"/>
    </row>
    <row r="17" spans="1:4" ht="23.25">
      <c r="A17" s="164" t="s">
        <v>342</v>
      </c>
      <c r="B17" s="102">
        <v>0</v>
      </c>
      <c r="C17" s="102">
        <f t="shared" si="0"/>
        <v>0</v>
      </c>
      <c r="D17" s="102">
        <v>0</v>
      </c>
    </row>
    <row r="18" spans="1:4" ht="23.25">
      <c r="A18" s="165" t="s">
        <v>343</v>
      </c>
      <c r="B18" s="166">
        <v>0</v>
      </c>
      <c r="C18" s="102">
        <f t="shared" si="0"/>
        <v>0</v>
      </c>
      <c r="D18" s="166">
        <v>0</v>
      </c>
    </row>
    <row r="19" spans="1:4" s="159" customFormat="1" ht="23.25">
      <c r="A19" s="167" t="s">
        <v>9</v>
      </c>
      <c r="B19" s="103">
        <f>SUM(B7:B18)</f>
        <v>1213505</v>
      </c>
      <c r="C19" s="103">
        <f>SUM(C7:C18)</f>
        <v>421144.33</v>
      </c>
      <c r="D19" s="103">
        <f>SUM(D7:D18)</f>
        <v>421144.33</v>
      </c>
    </row>
    <row r="21" spans="1:4" ht="23.25">
      <c r="A21" s="328" t="s">
        <v>243</v>
      </c>
      <c r="B21" s="328"/>
      <c r="C21" s="168" t="s">
        <v>244</v>
      </c>
      <c r="D21" s="168" t="s">
        <v>244</v>
      </c>
    </row>
    <row r="23" spans="1:4" ht="23.25">
      <c r="A23" s="328" t="s">
        <v>241</v>
      </c>
      <c r="B23" s="328"/>
      <c r="C23" s="168" t="s">
        <v>242</v>
      </c>
      <c r="D23" s="168" t="s">
        <v>289</v>
      </c>
    </row>
    <row r="24" spans="1:4" ht="23.25">
      <c r="A24" s="328" t="s">
        <v>11</v>
      </c>
      <c r="B24" s="328"/>
      <c r="C24" s="168" t="s">
        <v>12</v>
      </c>
      <c r="D24" s="168" t="s">
        <v>362</v>
      </c>
    </row>
    <row r="25" ht="23.25">
      <c r="D25" s="168"/>
    </row>
  </sheetData>
  <mergeCells count="10">
    <mergeCell ref="A21:B21"/>
    <mergeCell ref="A23:B23"/>
    <mergeCell ref="A24:B24"/>
    <mergeCell ref="A1:D1"/>
    <mergeCell ref="A2:D2"/>
    <mergeCell ref="A3:D3"/>
    <mergeCell ref="A4:A5"/>
    <mergeCell ref="B4:B5"/>
    <mergeCell ref="C4:C5"/>
    <mergeCell ref="D4:D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26.140625" style="49" customWidth="1"/>
    <col min="2" max="2" width="15.140625" style="96" customWidth="1"/>
    <col min="3" max="3" width="16.57421875" style="96" customWidth="1"/>
    <col min="4" max="4" width="26.00390625" style="96" customWidth="1"/>
    <col min="5" max="5" width="21.00390625" style="96" customWidth="1"/>
    <col min="6" max="6" width="27.140625" style="96" customWidth="1"/>
    <col min="7" max="16384" width="9.140625" style="49" customWidth="1"/>
  </cols>
  <sheetData>
    <row r="1" spans="1:6" ht="23.25">
      <c r="A1" s="321" t="s">
        <v>245</v>
      </c>
      <c r="B1" s="321"/>
      <c r="C1" s="321"/>
      <c r="D1" s="321"/>
      <c r="E1" s="321"/>
      <c r="F1" s="321"/>
    </row>
    <row r="2" spans="1:6" ht="23.25">
      <c r="A2" s="321" t="s">
        <v>363</v>
      </c>
      <c r="B2" s="321"/>
      <c r="C2" s="321"/>
      <c r="D2" s="321"/>
      <c r="E2" s="321"/>
      <c r="F2" s="321"/>
    </row>
    <row r="3" spans="1:6" ht="23.25">
      <c r="A3" s="322" t="s">
        <v>344</v>
      </c>
      <c r="B3" s="322"/>
      <c r="C3" s="322"/>
      <c r="D3" s="322"/>
      <c r="E3" s="322"/>
      <c r="F3" s="322"/>
    </row>
    <row r="4" spans="1:6" s="159" customFormat="1" ht="23.25">
      <c r="A4" s="323" t="s">
        <v>26</v>
      </c>
      <c r="B4" s="364" t="s">
        <v>53</v>
      </c>
      <c r="C4" s="364" t="s">
        <v>9</v>
      </c>
      <c r="D4" s="157" t="s">
        <v>364</v>
      </c>
      <c r="E4" s="364" t="s">
        <v>365</v>
      </c>
      <c r="F4" s="157" t="s">
        <v>366</v>
      </c>
    </row>
    <row r="5" spans="1:6" s="159" customFormat="1" ht="23.25">
      <c r="A5" s="363"/>
      <c r="B5" s="365"/>
      <c r="C5" s="365"/>
      <c r="D5" s="160" t="s">
        <v>367</v>
      </c>
      <c r="E5" s="365"/>
      <c r="F5" s="160" t="s">
        <v>368</v>
      </c>
    </row>
    <row r="6" spans="1:6" ht="23.25">
      <c r="A6" s="162" t="s">
        <v>223</v>
      </c>
      <c r="B6" s="163"/>
      <c r="C6" s="163"/>
      <c r="D6" s="163"/>
      <c r="E6" s="163"/>
      <c r="F6" s="163"/>
    </row>
    <row r="7" spans="1:6" ht="23.25">
      <c r="A7" s="164" t="s">
        <v>332</v>
      </c>
      <c r="B7" s="102">
        <v>0</v>
      </c>
      <c r="C7" s="102">
        <f aca="true" t="shared" si="0" ref="C7:C18">SUM(D7:F7)</f>
        <v>0</v>
      </c>
      <c r="D7" s="102">
        <v>0</v>
      </c>
      <c r="E7" s="102">
        <v>0</v>
      </c>
      <c r="F7" s="102">
        <v>0</v>
      </c>
    </row>
    <row r="8" spans="1:6" ht="23.25">
      <c r="A8" s="164" t="s">
        <v>333</v>
      </c>
      <c r="B8" s="102">
        <v>0</v>
      </c>
      <c r="C8" s="102">
        <f t="shared" si="0"/>
        <v>0</v>
      </c>
      <c r="D8" s="102">
        <v>0</v>
      </c>
      <c r="E8" s="102">
        <v>0</v>
      </c>
      <c r="F8" s="102">
        <v>0</v>
      </c>
    </row>
    <row r="9" spans="1:6" ht="23.25">
      <c r="A9" s="164" t="s">
        <v>334</v>
      </c>
      <c r="B9" s="102">
        <v>0</v>
      </c>
      <c r="C9" s="102">
        <f t="shared" si="0"/>
        <v>0</v>
      </c>
      <c r="D9" s="102">
        <v>0</v>
      </c>
      <c r="E9" s="102">
        <v>0</v>
      </c>
      <c r="F9" s="102">
        <v>0</v>
      </c>
    </row>
    <row r="10" spans="1:6" ht="23.25">
      <c r="A10" s="164" t="s">
        <v>335</v>
      </c>
      <c r="B10" s="102">
        <v>0</v>
      </c>
      <c r="C10" s="102">
        <f t="shared" si="0"/>
        <v>0</v>
      </c>
      <c r="D10" s="102">
        <v>0</v>
      </c>
      <c r="E10" s="102">
        <v>0</v>
      </c>
      <c r="F10" s="102">
        <v>0</v>
      </c>
    </row>
    <row r="11" spans="1:6" ht="23.25">
      <c r="A11" s="164" t="s">
        <v>336</v>
      </c>
      <c r="B11" s="102">
        <v>50000</v>
      </c>
      <c r="C11" s="102">
        <f t="shared" si="0"/>
        <v>46980</v>
      </c>
      <c r="D11" s="102">
        <v>0</v>
      </c>
      <c r="E11" s="102">
        <v>0</v>
      </c>
      <c r="F11" s="102">
        <v>46980</v>
      </c>
    </row>
    <row r="12" spans="1:6" ht="23.25">
      <c r="A12" s="164" t="s">
        <v>337</v>
      </c>
      <c r="B12" s="102">
        <v>0</v>
      </c>
      <c r="C12" s="102">
        <f t="shared" si="0"/>
        <v>0</v>
      </c>
      <c r="D12" s="102">
        <v>0</v>
      </c>
      <c r="E12" s="102">
        <v>0</v>
      </c>
      <c r="F12" s="102">
        <v>0</v>
      </c>
    </row>
    <row r="13" spans="1:6" ht="23.25">
      <c r="A13" s="164" t="s">
        <v>338</v>
      </c>
      <c r="B13" s="102">
        <v>0</v>
      </c>
      <c r="C13" s="102">
        <f t="shared" si="0"/>
        <v>0</v>
      </c>
      <c r="D13" s="102">
        <v>0</v>
      </c>
      <c r="E13" s="102">
        <v>0</v>
      </c>
      <c r="F13" s="102">
        <v>0</v>
      </c>
    </row>
    <row r="14" spans="1:6" ht="23.25">
      <c r="A14" s="164" t="s">
        <v>339</v>
      </c>
      <c r="B14" s="102">
        <v>0</v>
      </c>
      <c r="C14" s="102">
        <f t="shared" si="0"/>
        <v>0</v>
      </c>
      <c r="D14" s="102">
        <v>0</v>
      </c>
      <c r="E14" s="102">
        <v>0</v>
      </c>
      <c r="F14" s="102">
        <v>0</v>
      </c>
    </row>
    <row r="15" spans="1:6" ht="23.25">
      <c r="A15" s="164" t="s">
        <v>340</v>
      </c>
      <c r="B15" s="102">
        <v>0</v>
      </c>
      <c r="C15" s="102">
        <f t="shared" si="0"/>
        <v>0</v>
      </c>
      <c r="D15" s="102">
        <v>0</v>
      </c>
      <c r="E15" s="102">
        <v>0</v>
      </c>
      <c r="F15" s="102">
        <v>0</v>
      </c>
    </row>
    <row r="16" spans="1:6" ht="23.25">
      <c r="A16" s="164" t="s">
        <v>341</v>
      </c>
      <c r="B16" s="102">
        <v>0</v>
      </c>
      <c r="C16" s="102">
        <f t="shared" si="0"/>
        <v>0</v>
      </c>
      <c r="D16" s="102">
        <v>0</v>
      </c>
      <c r="E16" s="102">
        <v>0</v>
      </c>
      <c r="F16" s="102">
        <v>0</v>
      </c>
    </row>
    <row r="17" spans="1:6" ht="23.25">
      <c r="A17" s="164" t="s">
        <v>342</v>
      </c>
      <c r="B17" s="102">
        <v>14000</v>
      </c>
      <c r="C17" s="102">
        <f t="shared" si="0"/>
        <v>14000</v>
      </c>
      <c r="D17" s="102">
        <v>0</v>
      </c>
      <c r="E17" s="102">
        <v>0</v>
      </c>
      <c r="F17" s="102">
        <v>14000</v>
      </c>
    </row>
    <row r="18" spans="1:6" ht="23.25">
      <c r="A18" s="165" t="s">
        <v>343</v>
      </c>
      <c r="B18" s="166">
        <v>65000</v>
      </c>
      <c r="C18" s="102">
        <f t="shared" si="0"/>
        <v>65000</v>
      </c>
      <c r="D18" s="166">
        <v>0</v>
      </c>
      <c r="E18" s="166">
        <v>0</v>
      </c>
      <c r="F18" s="166">
        <v>65000</v>
      </c>
    </row>
    <row r="19" spans="1:6" ht="23.25">
      <c r="A19" s="165"/>
      <c r="B19" s="166"/>
      <c r="C19" s="166"/>
      <c r="D19" s="166"/>
      <c r="E19" s="166"/>
      <c r="F19" s="166"/>
    </row>
    <row r="20" spans="1:6" s="159" customFormat="1" ht="23.25">
      <c r="A20" s="167" t="s">
        <v>9</v>
      </c>
      <c r="B20" s="103">
        <f>SUM(B7:B18)</f>
        <v>129000</v>
      </c>
      <c r="C20" s="103">
        <f>SUM(C7:C18)</f>
        <v>125980</v>
      </c>
      <c r="D20" s="103">
        <f>SUM(D7:D18)</f>
        <v>0</v>
      </c>
      <c r="E20" s="103">
        <f>SUM(E7:E18)</f>
        <v>0</v>
      </c>
      <c r="F20" s="103">
        <f>SUM(F7:F18)</f>
        <v>125980</v>
      </c>
    </row>
    <row r="22" spans="1:6" ht="23.25">
      <c r="A22" s="328" t="s">
        <v>243</v>
      </c>
      <c r="B22" s="328"/>
      <c r="C22" s="329" t="s">
        <v>244</v>
      </c>
      <c r="D22" s="329"/>
      <c r="E22" s="329" t="s">
        <v>244</v>
      </c>
      <c r="F22" s="329"/>
    </row>
    <row r="24" spans="1:6" ht="23.25">
      <c r="A24" s="328" t="s">
        <v>241</v>
      </c>
      <c r="B24" s="328"/>
      <c r="C24" s="329" t="s">
        <v>242</v>
      </c>
      <c r="D24" s="329"/>
      <c r="E24" s="329" t="s">
        <v>289</v>
      </c>
      <c r="F24" s="329"/>
    </row>
    <row r="25" spans="1:6" ht="23.25">
      <c r="A25" s="328" t="s">
        <v>11</v>
      </c>
      <c r="B25" s="328"/>
      <c r="C25" s="329" t="s">
        <v>12</v>
      </c>
      <c r="D25" s="329"/>
      <c r="E25" s="329" t="s">
        <v>290</v>
      </c>
      <c r="F25" s="329"/>
    </row>
    <row r="26" spans="5:6" ht="23.25">
      <c r="E26" s="329"/>
      <c r="F26" s="329"/>
    </row>
  </sheetData>
  <mergeCells count="17">
    <mergeCell ref="A1:F1"/>
    <mergeCell ref="A2:F2"/>
    <mergeCell ref="A3:F3"/>
    <mergeCell ref="A4:A5"/>
    <mergeCell ref="B4:B5"/>
    <mergeCell ref="C4:C5"/>
    <mergeCell ref="E4:E5"/>
    <mergeCell ref="A22:B22"/>
    <mergeCell ref="C22:D22"/>
    <mergeCell ref="E22:F22"/>
    <mergeCell ref="A24:B24"/>
    <mergeCell ref="C24:D24"/>
    <mergeCell ref="E24:F24"/>
    <mergeCell ref="A25:B25"/>
    <mergeCell ref="C25:D25"/>
    <mergeCell ref="E25:F25"/>
    <mergeCell ref="E26:F26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4">
      <selection activeCell="B14" sqref="B14"/>
    </sheetView>
  </sheetViews>
  <sheetFormatPr defaultColWidth="9.140625" defaultRowHeight="12.75"/>
  <cols>
    <col min="1" max="1" width="26.140625" style="49" customWidth="1"/>
    <col min="2" max="2" width="15.140625" style="96" customWidth="1"/>
    <col min="3" max="3" width="14.421875" style="96" customWidth="1"/>
    <col min="4" max="4" width="21.28125" style="96" customWidth="1"/>
    <col min="5" max="5" width="19.7109375" style="96" customWidth="1"/>
    <col min="6" max="6" width="23.140625" style="96" customWidth="1"/>
    <col min="7" max="7" width="17.421875" style="96" customWidth="1"/>
    <col min="8" max="16384" width="9.140625" style="49" customWidth="1"/>
  </cols>
  <sheetData>
    <row r="1" spans="1:7" ht="23.25">
      <c r="A1" s="321" t="s">
        <v>245</v>
      </c>
      <c r="B1" s="321"/>
      <c r="C1" s="321"/>
      <c r="D1" s="321"/>
      <c r="E1" s="321"/>
      <c r="F1" s="321"/>
      <c r="G1" s="321"/>
    </row>
    <row r="2" spans="1:7" ht="23.25">
      <c r="A2" s="321" t="s">
        <v>369</v>
      </c>
      <c r="B2" s="321"/>
      <c r="C2" s="321"/>
      <c r="D2" s="321"/>
      <c r="E2" s="321"/>
      <c r="F2" s="321"/>
      <c r="G2" s="321"/>
    </row>
    <row r="3" spans="1:7" ht="23.25">
      <c r="A3" s="322" t="s">
        <v>344</v>
      </c>
      <c r="B3" s="322"/>
      <c r="C3" s="322"/>
      <c r="D3" s="322"/>
      <c r="E3" s="322"/>
      <c r="F3" s="322"/>
      <c r="G3" s="322"/>
    </row>
    <row r="4" spans="1:7" s="159" customFormat="1" ht="23.25">
      <c r="A4" s="323" t="s">
        <v>26</v>
      </c>
      <c r="B4" s="364" t="s">
        <v>53</v>
      </c>
      <c r="C4" s="364" t="s">
        <v>9</v>
      </c>
      <c r="D4" s="157" t="s">
        <v>328</v>
      </c>
      <c r="E4" s="364" t="s">
        <v>370</v>
      </c>
      <c r="F4" s="158" t="s">
        <v>371</v>
      </c>
      <c r="G4" s="157" t="s">
        <v>372</v>
      </c>
    </row>
    <row r="5" spans="1:7" s="159" customFormat="1" ht="23.25">
      <c r="A5" s="363"/>
      <c r="B5" s="365"/>
      <c r="C5" s="365"/>
      <c r="D5" s="160" t="s">
        <v>373</v>
      </c>
      <c r="E5" s="365"/>
      <c r="F5" s="161" t="s">
        <v>374</v>
      </c>
      <c r="G5" s="160" t="s">
        <v>375</v>
      </c>
    </row>
    <row r="6" spans="1:7" ht="23.25">
      <c r="A6" s="162" t="s">
        <v>223</v>
      </c>
      <c r="B6" s="163"/>
      <c r="C6" s="163"/>
      <c r="D6" s="163"/>
      <c r="E6" s="163"/>
      <c r="F6" s="163"/>
      <c r="G6" s="163"/>
    </row>
    <row r="7" spans="1:7" ht="23.25">
      <c r="A7" s="164" t="s">
        <v>332</v>
      </c>
      <c r="B7" s="102">
        <v>0</v>
      </c>
      <c r="C7" s="102">
        <f>SUM(D7:G7)</f>
        <v>0</v>
      </c>
      <c r="D7" s="102">
        <v>0</v>
      </c>
      <c r="E7" s="102">
        <v>0</v>
      </c>
      <c r="F7" s="102">
        <v>0</v>
      </c>
      <c r="G7" s="102">
        <v>0</v>
      </c>
    </row>
    <row r="8" spans="1:7" ht="23.25">
      <c r="A8" s="164" t="s">
        <v>333</v>
      </c>
      <c r="B8" s="102">
        <v>0</v>
      </c>
      <c r="C8" s="102">
        <f aca="true" t="shared" si="0" ref="C8:C18">SUM(D8:G8)</f>
        <v>0</v>
      </c>
      <c r="D8" s="102">
        <v>0</v>
      </c>
      <c r="E8" s="102">
        <v>0</v>
      </c>
      <c r="F8" s="102">
        <v>0</v>
      </c>
      <c r="G8" s="102">
        <v>0</v>
      </c>
    </row>
    <row r="9" spans="1:7" ht="23.25">
      <c r="A9" s="164" t="s">
        <v>334</v>
      </c>
      <c r="B9" s="102">
        <v>0</v>
      </c>
      <c r="C9" s="102">
        <f t="shared" si="0"/>
        <v>0</v>
      </c>
      <c r="D9" s="102">
        <v>0</v>
      </c>
      <c r="E9" s="102">
        <v>0</v>
      </c>
      <c r="F9" s="102">
        <v>0</v>
      </c>
      <c r="G9" s="102">
        <v>0</v>
      </c>
    </row>
    <row r="10" spans="1:7" ht="23.25">
      <c r="A10" s="164" t="s">
        <v>335</v>
      </c>
      <c r="B10" s="102">
        <v>0</v>
      </c>
      <c r="C10" s="102">
        <f t="shared" si="0"/>
        <v>0</v>
      </c>
      <c r="D10" s="102">
        <v>0</v>
      </c>
      <c r="E10" s="102">
        <v>0</v>
      </c>
      <c r="F10" s="102">
        <v>0</v>
      </c>
      <c r="G10" s="102">
        <v>0</v>
      </c>
    </row>
    <row r="11" spans="1:7" ht="23.25">
      <c r="A11" s="164" t="s">
        <v>336</v>
      </c>
      <c r="B11" s="102">
        <f>20000+100000+15000+15000-28710-14910</f>
        <v>106380</v>
      </c>
      <c r="C11" s="102">
        <f t="shared" si="0"/>
        <v>74731</v>
      </c>
      <c r="D11" s="102">
        <v>0</v>
      </c>
      <c r="E11" s="102">
        <v>0</v>
      </c>
      <c r="F11" s="102">
        <f>17860+56871</f>
        <v>74731</v>
      </c>
      <c r="G11" s="102">
        <v>0</v>
      </c>
    </row>
    <row r="12" spans="1:7" ht="23.25">
      <c r="A12" s="164" t="s">
        <v>337</v>
      </c>
      <c r="B12" s="102">
        <v>0</v>
      </c>
      <c r="C12" s="102">
        <f t="shared" si="0"/>
        <v>0</v>
      </c>
      <c r="D12" s="102">
        <v>0</v>
      </c>
      <c r="E12" s="102">
        <v>0</v>
      </c>
      <c r="F12" s="102">
        <v>0</v>
      </c>
      <c r="G12" s="102">
        <v>0</v>
      </c>
    </row>
    <row r="13" spans="1:7" ht="23.25">
      <c r="A13" s="164" t="s">
        <v>338</v>
      </c>
      <c r="B13" s="102">
        <v>0</v>
      </c>
      <c r="C13" s="102">
        <f t="shared" si="0"/>
        <v>0</v>
      </c>
      <c r="D13" s="102">
        <v>0</v>
      </c>
      <c r="E13" s="102">
        <v>0</v>
      </c>
      <c r="F13" s="102">
        <v>0</v>
      </c>
      <c r="G13" s="102">
        <v>0</v>
      </c>
    </row>
    <row r="14" spans="1:7" ht="23.25">
      <c r="A14" s="164" t="s">
        <v>339</v>
      </c>
      <c r="B14" s="102">
        <v>70000</v>
      </c>
      <c r="C14" s="102">
        <f t="shared" si="0"/>
        <v>70000</v>
      </c>
      <c r="D14" s="102">
        <v>0</v>
      </c>
      <c r="E14" s="102">
        <v>0</v>
      </c>
      <c r="F14" s="102">
        <v>70000</v>
      </c>
      <c r="G14" s="102">
        <v>0</v>
      </c>
    </row>
    <row r="15" spans="1:7" ht="23.25">
      <c r="A15" s="164" t="s">
        <v>340</v>
      </c>
      <c r="B15" s="102">
        <v>0</v>
      </c>
      <c r="C15" s="102">
        <f t="shared" si="0"/>
        <v>0</v>
      </c>
      <c r="D15" s="102">
        <v>0</v>
      </c>
      <c r="E15" s="102">
        <v>0</v>
      </c>
      <c r="F15" s="102">
        <v>0</v>
      </c>
      <c r="G15" s="102">
        <v>0</v>
      </c>
    </row>
    <row r="16" spans="1:7" ht="23.25">
      <c r="A16" s="164" t="s">
        <v>341</v>
      </c>
      <c r="B16" s="102">
        <v>0</v>
      </c>
      <c r="C16" s="102">
        <f t="shared" si="0"/>
        <v>0</v>
      </c>
      <c r="D16" s="102">
        <v>0</v>
      </c>
      <c r="E16" s="102">
        <v>0</v>
      </c>
      <c r="F16" s="102">
        <v>0</v>
      </c>
      <c r="G16" s="102">
        <v>0</v>
      </c>
    </row>
    <row r="17" spans="1:7" ht="23.25">
      <c r="A17" s="164" t="s">
        <v>342</v>
      </c>
      <c r="B17" s="102">
        <v>0</v>
      </c>
      <c r="C17" s="102">
        <f t="shared" si="0"/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ht="23.25">
      <c r="A18" s="165" t="s">
        <v>343</v>
      </c>
      <c r="B18" s="166">
        <v>0</v>
      </c>
      <c r="C18" s="102">
        <f t="shared" si="0"/>
        <v>0</v>
      </c>
      <c r="D18" s="166">
        <v>0</v>
      </c>
      <c r="E18" s="166">
        <v>0</v>
      </c>
      <c r="F18" s="166">
        <v>0</v>
      </c>
      <c r="G18" s="166">
        <v>0</v>
      </c>
    </row>
    <row r="19" spans="1:7" s="159" customFormat="1" ht="23.25">
      <c r="A19" s="167" t="s">
        <v>9</v>
      </c>
      <c r="B19" s="103">
        <f aca="true" t="shared" si="1" ref="B19:G19">SUM(B7:B18)</f>
        <v>176380</v>
      </c>
      <c r="C19" s="103">
        <f t="shared" si="1"/>
        <v>144731</v>
      </c>
      <c r="D19" s="103">
        <f t="shared" si="1"/>
        <v>0</v>
      </c>
      <c r="E19" s="103">
        <f t="shared" si="1"/>
        <v>0</v>
      </c>
      <c r="F19" s="103">
        <f t="shared" si="1"/>
        <v>144731</v>
      </c>
      <c r="G19" s="103">
        <f t="shared" si="1"/>
        <v>0</v>
      </c>
    </row>
    <row r="20" ht="11.25" customHeight="1"/>
    <row r="21" spans="1:7" ht="23.25">
      <c r="A21" s="328" t="s">
        <v>243</v>
      </c>
      <c r="B21" s="328"/>
      <c r="C21" s="329" t="s">
        <v>244</v>
      </c>
      <c r="D21" s="329"/>
      <c r="E21" s="329"/>
      <c r="F21" s="329" t="s">
        <v>244</v>
      </c>
      <c r="G21" s="329"/>
    </row>
    <row r="23" spans="1:7" ht="23.25">
      <c r="A23" s="328" t="s">
        <v>241</v>
      </c>
      <c r="B23" s="328"/>
      <c r="C23" s="329" t="s">
        <v>242</v>
      </c>
      <c r="D23" s="329"/>
      <c r="E23" s="329"/>
      <c r="F23" s="329" t="s">
        <v>289</v>
      </c>
      <c r="G23" s="329"/>
    </row>
    <row r="24" spans="1:7" ht="23.25">
      <c r="A24" s="328" t="s">
        <v>11</v>
      </c>
      <c r="B24" s="328"/>
      <c r="C24" s="329" t="s">
        <v>12</v>
      </c>
      <c r="D24" s="329"/>
      <c r="E24" s="329"/>
      <c r="F24" s="329" t="s">
        <v>376</v>
      </c>
      <c r="G24" s="329"/>
    </row>
    <row r="25" spans="6:7" ht="23.25">
      <c r="F25" s="329"/>
      <c r="G25" s="329"/>
    </row>
  </sheetData>
  <mergeCells count="17">
    <mergeCell ref="A1:G1"/>
    <mergeCell ref="A2:G2"/>
    <mergeCell ref="A3:G3"/>
    <mergeCell ref="A4:A5"/>
    <mergeCell ref="B4:B5"/>
    <mergeCell ref="C4:C5"/>
    <mergeCell ref="E4:E5"/>
    <mergeCell ref="A21:B21"/>
    <mergeCell ref="C21:E21"/>
    <mergeCell ref="F21:G21"/>
    <mergeCell ref="A23:B23"/>
    <mergeCell ref="C23:E23"/>
    <mergeCell ref="F23:G23"/>
    <mergeCell ref="A24:B24"/>
    <mergeCell ref="C24:E24"/>
    <mergeCell ref="F24:G24"/>
    <mergeCell ref="F25:G2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4">
      <selection activeCell="B11" sqref="B11"/>
    </sheetView>
  </sheetViews>
  <sheetFormatPr defaultColWidth="9.140625" defaultRowHeight="12.75"/>
  <cols>
    <col min="1" max="1" width="26.140625" style="49" customWidth="1"/>
    <col min="2" max="2" width="15.140625" style="96" customWidth="1"/>
    <col min="3" max="3" width="18.57421875" style="96" customWidth="1"/>
    <col min="4" max="4" width="25.7109375" style="96" customWidth="1"/>
    <col min="5" max="5" width="36.28125" style="96" customWidth="1"/>
    <col min="6" max="16384" width="9.140625" style="49" customWidth="1"/>
  </cols>
  <sheetData>
    <row r="1" spans="1:5" ht="23.25">
      <c r="A1" s="321" t="s">
        <v>245</v>
      </c>
      <c r="B1" s="321"/>
      <c r="C1" s="321"/>
      <c r="D1" s="321"/>
      <c r="E1" s="321"/>
    </row>
    <row r="2" spans="1:5" ht="23.25">
      <c r="A2" s="321" t="s">
        <v>377</v>
      </c>
      <c r="B2" s="321"/>
      <c r="C2" s="321"/>
      <c r="D2" s="321"/>
      <c r="E2" s="321"/>
    </row>
    <row r="3" spans="1:5" ht="23.25">
      <c r="A3" s="322" t="s">
        <v>344</v>
      </c>
      <c r="B3" s="322"/>
      <c r="C3" s="322"/>
      <c r="D3" s="322"/>
      <c r="E3" s="322"/>
    </row>
    <row r="4" spans="1:5" s="159" customFormat="1" ht="23.25">
      <c r="A4" s="323" t="s">
        <v>26</v>
      </c>
      <c r="B4" s="364" t="s">
        <v>53</v>
      </c>
      <c r="C4" s="364" t="s">
        <v>9</v>
      </c>
      <c r="D4" s="157" t="s">
        <v>364</v>
      </c>
      <c r="E4" s="157" t="s">
        <v>378</v>
      </c>
    </row>
    <row r="5" spans="1:5" s="159" customFormat="1" ht="23.25">
      <c r="A5" s="363"/>
      <c r="B5" s="365"/>
      <c r="C5" s="365"/>
      <c r="D5" s="160" t="s">
        <v>379</v>
      </c>
      <c r="E5" s="160" t="s">
        <v>379</v>
      </c>
    </row>
    <row r="6" spans="1:5" ht="23.25">
      <c r="A6" s="162" t="s">
        <v>223</v>
      </c>
      <c r="B6" s="163"/>
      <c r="C6" s="163"/>
      <c r="D6" s="163"/>
      <c r="E6" s="163"/>
    </row>
    <row r="7" spans="1:5" ht="23.25">
      <c r="A7" s="164" t="s">
        <v>332</v>
      </c>
      <c r="B7" s="102">
        <v>0</v>
      </c>
      <c r="C7" s="102">
        <f>SUM(D7:E7)</f>
        <v>0</v>
      </c>
      <c r="D7" s="102">
        <v>0</v>
      </c>
      <c r="E7" s="102">
        <v>0</v>
      </c>
    </row>
    <row r="8" spans="1:5" ht="23.25">
      <c r="A8" s="164" t="s">
        <v>333</v>
      </c>
      <c r="B8" s="102">
        <v>0</v>
      </c>
      <c r="C8" s="102">
        <f aca="true" t="shared" si="0" ref="C8:C18">SUM(D8:E8)</f>
        <v>0</v>
      </c>
      <c r="D8" s="102">
        <v>0</v>
      </c>
      <c r="E8" s="102">
        <v>0</v>
      </c>
    </row>
    <row r="9" spans="1:5" ht="23.25">
      <c r="A9" s="164" t="s">
        <v>334</v>
      </c>
      <c r="B9" s="102">
        <v>0</v>
      </c>
      <c r="C9" s="102">
        <f t="shared" si="0"/>
        <v>0</v>
      </c>
      <c r="D9" s="102">
        <v>0</v>
      </c>
      <c r="E9" s="102">
        <v>0</v>
      </c>
    </row>
    <row r="10" spans="1:5" ht="23.25">
      <c r="A10" s="164" t="s">
        <v>335</v>
      </c>
      <c r="B10" s="102">
        <v>0</v>
      </c>
      <c r="C10" s="102">
        <f t="shared" si="0"/>
        <v>0</v>
      </c>
      <c r="D10" s="102">
        <v>0</v>
      </c>
      <c r="E10" s="102">
        <v>0</v>
      </c>
    </row>
    <row r="11" spans="1:5" ht="23.25">
      <c r="A11" s="164" t="s">
        <v>336</v>
      </c>
      <c r="B11" s="102">
        <f>45000+30000+100000-100000</f>
        <v>75000</v>
      </c>
      <c r="C11" s="102">
        <f t="shared" si="0"/>
        <v>72588</v>
      </c>
      <c r="D11" s="102">
        <v>0</v>
      </c>
      <c r="E11" s="102">
        <f>42600+29988</f>
        <v>72588</v>
      </c>
    </row>
    <row r="12" spans="1:5" ht="23.25">
      <c r="A12" s="164" t="s">
        <v>337</v>
      </c>
      <c r="B12" s="102">
        <v>70000</v>
      </c>
      <c r="C12" s="102">
        <f t="shared" si="0"/>
        <v>70000</v>
      </c>
      <c r="D12" s="102">
        <v>0</v>
      </c>
      <c r="E12" s="102">
        <v>70000</v>
      </c>
    </row>
    <row r="13" spans="1:5" ht="23.25">
      <c r="A13" s="164" t="s">
        <v>338</v>
      </c>
      <c r="B13" s="102">
        <v>0</v>
      </c>
      <c r="C13" s="102">
        <f t="shared" si="0"/>
        <v>0</v>
      </c>
      <c r="D13" s="102">
        <v>0</v>
      </c>
      <c r="E13" s="102">
        <v>0</v>
      </c>
    </row>
    <row r="14" spans="1:5" ht="23.25">
      <c r="A14" s="164" t="s">
        <v>339</v>
      </c>
      <c r="B14" s="102">
        <f>20000+20000+15000</f>
        <v>55000</v>
      </c>
      <c r="C14" s="102">
        <f t="shared" si="0"/>
        <v>30000</v>
      </c>
      <c r="D14" s="102">
        <v>0</v>
      </c>
      <c r="E14" s="102">
        <f>15000+15000</f>
        <v>30000</v>
      </c>
    </row>
    <row r="15" spans="1:5" ht="23.25">
      <c r="A15" s="164" t="s">
        <v>340</v>
      </c>
      <c r="B15" s="102">
        <v>0</v>
      </c>
      <c r="C15" s="102">
        <f t="shared" si="0"/>
        <v>0</v>
      </c>
      <c r="D15" s="102">
        <v>0</v>
      </c>
      <c r="E15" s="102">
        <v>0</v>
      </c>
    </row>
    <row r="16" spans="1:5" ht="23.25">
      <c r="A16" s="164" t="s">
        <v>341</v>
      </c>
      <c r="B16" s="102">
        <v>0</v>
      </c>
      <c r="C16" s="102">
        <f t="shared" si="0"/>
        <v>0</v>
      </c>
      <c r="D16" s="102">
        <v>0</v>
      </c>
      <c r="E16" s="102">
        <v>0</v>
      </c>
    </row>
    <row r="17" spans="1:5" ht="23.25">
      <c r="A17" s="164" t="s">
        <v>342</v>
      </c>
      <c r="B17" s="102">
        <v>0</v>
      </c>
      <c r="C17" s="102">
        <f t="shared" si="0"/>
        <v>0</v>
      </c>
      <c r="D17" s="102">
        <v>0</v>
      </c>
      <c r="E17" s="102">
        <v>0</v>
      </c>
    </row>
    <row r="18" spans="1:5" ht="23.25">
      <c r="A18" s="165" t="s">
        <v>343</v>
      </c>
      <c r="B18" s="166">
        <v>0</v>
      </c>
      <c r="C18" s="102">
        <f t="shared" si="0"/>
        <v>0</v>
      </c>
      <c r="D18" s="166">
        <v>0</v>
      </c>
      <c r="E18" s="166">
        <v>0</v>
      </c>
    </row>
    <row r="19" spans="1:5" s="159" customFormat="1" ht="23.25">
      <c r="A19" s="167" t="s">
        <v>9</v>
      </c>
      <c r="B19" s="103">
        <f>SUM(B7:B18)</f>
        <v>200000</v>
      </c>
      <c r="C19" s="103">
        <f>SUM(C7:C18)</f>
        <v>172588</v>
      </c>
      <c r="D19" s="103">
        <f>SUM(D7:D18)</f>
        <v>0</v>
      </c>
      <c r="E19" s="103">
        <f>SUM(E7:E18)</f>
        <v>172588</v>
      </c>
    </row>
    <row r="20" ht="9" customHeight="1"/>
    <row r="21" spans="1:5" ht="23.25">
      <c r="A21" s="328" t="s">
        <v>243</v>
      </c>
      <c r="B21" s="328"/>
      <c r="C21" s="329" t="s">
        <v>244</v>
      </c>
      <c r="D21" s="329"/>
      <c r="E21" s="168" t="s">
        <v>244</v>
      </c>
    </row>
    <row r="23" spans="1:5" ht="23.25">
      <c r="A23" s="328" t="s">
        <v>241</v>
      </c>
      <c r="B23" s="328"/>
      <c r="C23" s="329" t="s">
        <v>242</v>
      </c>
      <c r="D23" s="329"/>
      <c r="E23" s="168" t="s">
        <v>289</v>
      </c>
    </row>
    <row r="24" spans="1:5" ht="23.25">
      <c r="A24" s="328" t="s">
        <v>11</v>
      </c>
      <c r="B24" s="328"/>
      <c r="C24" s="329" t="s">
        <v>12</v>
      </c>
      <c r="D24" s="329"/>
      <c r="E24" s="168" t="s">
        <v>362</v>
      </c>
    </row>
    <row r="25" ht="23.25">
      <c r="E25" s="168"/>
    </row>
  </sheetData>
  <mergeCells count="12">
    <mergeCell ref="A1:E1"/>
    <mergeCell ref="A2:E2"/>
    <mergeCell ref="A3:E3"/>
    <mergeCell ref="A4:A5"/>
    <mergeCell ref="B4:B5"/>
    <mergeCell ref="C4:C5"/>
    <mergeCell ref="A24:B24"/>
    <mergeCell ref="C24:D24"/>
    <mergeCell ref="A21:B21"/>
    <mergeCell ref="C21:D21"/>
    <mergeCell ref="A23:B23"/>
    <mergeCell ref="C23:D2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" sqref="A16"/>
    </sheetView>
  </sheetViews>
  <sheetFormatPr defaultColWidth="9.140625" defaultRowHeight="12.75"/>
  <cols>
    <col min="1" max="1" width="26.140625" style="49" customWidth="1"/>
    <col min="2" max="2" width="15.140625" style="96" customWidth="1"/>
    <col min="3" max="3" width="14.421875" style="96" customWidth="1"/>
    <col min="4" max="4" width="18.8515625" style="96" customWidth="1"/>
    <col min="5" max="5" width="18.00390625" style="96" customWidth="1"/>
    <col min="6" max="6" width="17.00390625" style="96" customWidth="1"/>
    <col min="7" max="7" width="19.00390625" style="96" customWidth="1"/>
    <col min="8" max="8" width="16.57421875" style="49" customWidth="1"/>
    <col min="9" max="16384" width="9.140625" style="49" customWidth="1"/>
  </cols>
  <sheetData>
    <row r="1" spans="1:7" ht="23.25">
      <c r="A1" s="321" t="s">
        <v>245</v>
      </c>
      <c r="B1" s="321"/>
      <c r="C1" s="321"/>
      <c r="D1" s="321"/>
      <c r="E1" s="321"/>
      <c r="F1" s="321"/>
      <c r="G1" s="321"/>
    </row>
    <row r="2" spans="1:7" ht="23.25">
      <c r="A2" s="321" t="s">
        <v>380</v>
      </c>
      <c r="B2" s="321"/>
      <c r="C2" s="321"/>
      <c r="D2" s="321"/>
      <c r="E2" s="321"/>
      <c r="F2" s="321"/>
      <c r="G2" s="321"/>
    </row>
    <row r="3" spans="1:7" ht="23.25">
      <c r="A3" s="322" t="s">
        <v>344</v>
      </c>
      <c r="B3" s="322"/>
      <c r="C3" s="322"/>
      <c r="D3" s="322"/>
      <c r="E3" s="322"/>
      <c r="F3" s="322"/>
      <c r="G3" s="322"/>
    </row>
    <row r="4" spans="1:8" s="159" customFormat="1" ht="23.25">
      <c r="A4" s="323" t="s">
        <v>26</v>
      </c>
      <c r="B4" s="364" t="s">
        <v>53</v>
      </c>
      <c r="C4" s="364" t="s">
        <v>9</v>
      </c>
      <c r="D4" s="157" t="s">
        <v>328</v>
      </c>
      <c r="E4" s="364" t="s">
        <v>381</v>
      </c>
      <c r="F4" s="364" t="s">
        <v>382</v>
      </c>
      <c r="G4" s="157" t="s">
        <v>383</v>
      </c>
      <c r="H4" s="364" t="s">
        <v>384</v>
      </c>
    </row>
    <row r="5" spans="1:8" s="159" customFormat="1" ht="23.25">
      <c r="A5" s="363"/>
      <c r="B5" s="365"/>
      <c r="C5" s="365"/>
      <c r="D5" s="160"/>
      <c r="E5" s="365"/>
      <c r="F5" s="365"/>
      <c r="G5" s="160" t="s">
        <v>385</v>
      </c>
      <c r="H5" s="365"/>
    </row>
    <row r="6" spans="1:8" ht="23.25">
      <c r="A6" s="162" t="s">
        <v>223</v>
      </c>
      <c r="B6" s="163"/>
      <c r="C6" s="163"/>
      <c r="D6" s="163"/>
      <c r="E6" s="163"/>
      <c r="F6" s="163"/>
      <c r="G6" s="163"/>
      <c r="H6" s="163"/>
    </row>
    <row r="7" spans="1:8" ht="23.25">
      <c r="A7" s="164" t="s">
        <v>332</v>
      </c>
      <c r="B7" s="102">
        <f>157680+600-600+660-660</f>
        <v>157680</v>
      </c>
      <c r="C7" s="102">
        <f>SUM(D7:H7)</f>
        <v>142380</v>
      </c>
      <c r="D7" s="102">
        <f>137180+4540+1260-600</f>
        <v>142380</v>
      </c>
      <c r="E7" s="102">
        <v>0</v>
      </c>
      <c r="F7" s="102">
        <v>0</v>
      </c>
      <c r="G7" s="102">
        <v>0</v>
      </c>
      <c r="H7" s="102">
        <v>0</v>
      </c>
    </row>
    <row r="8" spans="1:8" ht="23.25">
      <c r="A8" s="164" t="s">
        <v>333</v>
      </c>
      <c r="B8" s="102">
        <v>0</v>
      </c>
      <c r="C8" s="102">
        <f aca="true" t="shared" si="0" ref="C8:C18">SUM(D8:H8)</f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</row>
    <row r="9" spans="1:8" ht="23.25">
      <c r="A9" s="164" t="s">
        <v>334</v>
      </c>
      <c r="B9" s="102">
        <v>196800</v>
      </c>
      <c r="C9" s="102">
        <f t="shared" si="0"/>
        <v>180400</v>
      </c>
      <c r="D9" s="102">
        <f>132730+47670</f>
        <v>180400</v>
      </c>
      <c r="E9" s="102">
        <v>0</v>
      </c>
      <c r="F9" s="102">
        <v>0</v>
      </c>
      <c r="G9" s="102">
        <v>0</v>
      </c>
      <c r="H9" s="102">
        <v>0</v>
      </c>
    </row>
    <row r="10" spans="1:8" ht="23.25">
      <c r="A10" s="164" t="s">
        <v>335</v>
      </c>
      <c r="B10" s="102">
        <v>108830</v>
      </c>
      <c r="C10" s="102">
        <f t="shared" si="0"/>
        <v>83012</v>
      </c>
      <c r="D10" s="102">
        <f>3682+1000+6000+72330</f>
        <v>83012</v>
      </c>
      <c r="E10" s="102">
        <v>0</v>
      </c>
      <c r="F10" s="102">
        <v>0</v>
      </c>
      <c r="G10" s="102">
        <v>0</v>
      </c>
      <c r="H10" s="102">
        <v>0</v>
      </c>
    </row>
    <row r="11" spans="1:8" ht="23.25">
      <c r="A11" s="164" t="s">
        <v>336</v>
      </c>
      <c r="B11" s="102">
        <v>100000</v>
      </c>
      <c r="C11" s="102">
        <f t="shared" si="0"/>
        <v>107040</v>
      </c>
      <c r="D11" s="102">
        <f>3600+41000+26840+5600</f>
        <v>77040</v>
      </c>
      <c r="E11" s="102">
        <v>0</v>
      </c>
      <c r="F11" s="102">
        <v>0</v>
      </c>
      <c r="G11" s="102">
        <v>0</v>
      </c>
      <c r="H11" s="102">
        <v>30000</v>
      </c>
    </row>
    <row r="12" spans="1:8" ht="23.25">
      <c r="A12" s="164" t="s">
        <v>337</v>
      </c>
      <c r="B12" s="102">
        <f>29000-1559</f>
        <v>27441</v>
      </c>
      <c r="C12" s="102">
        <f t="shared" si="0"/>
        <v>11774</v>
      </c>
      <c r="D12" s="102">
        <f>5974+5800</f>
        <v>11774</v>
      </c>
      <c r="E12" s="102">
        <v>0</v>
      </c>
      <c r="F12" s="102">
        <v>0</v>
      </c>
      <c r="G12" s="102">
        <v>0</v>
      </c>
      <c r="H12" s="102">
        <v>0</v>
      </c>
    </row>
    <row r="13" spans="1:8" ht="23.25">
      <c r="A13" s="164" t="s">
        <v>338</v>
      </c>
      <c r="B13" s="102">
        <v>0</v>
      </c>
      <c r="C13" s="102">
        <f t="shared" si="0"/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</row>
    <row r="14" spans="1:8" ht="23.25">
      <c r="A14" s="164" t="s">
        <v>339</v>
      </c>
      <c r="B14" s="102">
        <f>310000+1559</f>
        <v>311559</v>
      </c>
      <c r="C14" s="102">
        <f t="shared" si="0"/>
        <v>311558.32</v>
      </c>
      <c r="D14" s="102">
        <v>0</v>
      </c>
      <c r="E14" s="102">
        <v>311558.32</v>
      </c>
      <c r="F14" s="102">
        <v>0</v>
      </c>
      <c r="G14" s="102">
        <v>0</v>
      </c>
      <c r="H14" s="102">
        <v>0</v>
      </c>
    </row>
    <row r="15" spans="1:8" ht="23.25">
      <c r="A15" s="164" t="s">
        <v>340</v>
      </c>
      <c r="B15" s="102">
        <v>0</v>
      </c>
      <c r="C15" s="102">
        <f t="shared" si="0"/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</row>
    <row r="16" spans="1:8" ht="23.25">
      <c r="A16" s="164" t="s">
        <v>341</v>
      </c>
      <c r="B16" s="102">
        <v>0</v>
      </c>
      <c r="C16" s="102">
        <f t="shared" si="0"/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</row>
    <row r="17" spans="1:8" ht="23.25">
      <c r="A17" s="164" t="s">
        <v>342</v>
      </c>
      <c r="B17" s="102">
        <v>15500</v>
      </c>
      <c r="C17" s="102">
        <f t="shared" si="0"/>
        <v>15500</v>
      </c>
      <c r="D17" s="102">
        <f>7500+8000</f>
        <v>15500</v>
      </c>
      <c r="E17" s="102">
        <v>0</v>
      </c>
      <c r="F17" s="102">
        <v>0</v>
      </c>
      <c r="G17" s="102">
        <v>0</v>
      </c>
      <c r="H17" s="102">
        <v>0</v>
      </c>
    </row>
    <row r="18" spans="1:8" ht="23.25">
      <c r="A18" s="165" t="s">
        <v>343</v>
      </c>
      <c r="B18" s="166">
        <v>2656400</v>
      </c>
      <c r="C18" s="102">
        <f t="shared" si="0"/>
        <v>619000</v>
      </c>
      <c r="D18" s="166"/>
      <c r="E18" s="102">
        <f>244000+260000+115000</f>
        <v>619000</v>
      </c>
      <c r="F18" s="166">
        <v>0</v>
      </c>
      <c r="G18" s="166">
        <v>0</v>
      </c>
      <c r="H18" s="102">
        <v>0</v>
      </c>
    </row>
    <row r="19" spans="1:8" ht="23.25">
      <c r="A19" s="165"/>
      <c r="B19" s="166"/>
      <c r="C19" s="102"/>
      <c r="D19" s="166"/>
      <c r="E19" s="166"/>
      <c r="F19" s="166"/>
      <c r="G19" s="166"/>
      <c r="H19" s="169"/>
    </row>
    <row r="20" spans="1:8" s="159" customFormat="1" ht="23.25">
      <c r="A20" s="167" t="s">
        <v>9</v>
      </c>
      <c r="B20" s="103">
        <f>SUM(B7:B18)</f>
        <v>3574210</v>
      </c>
      <c r="C20" s="103">
        <f aca="true" t="shared" si="1" ref="C20:H20">SUM(C7:C18)</f>
        <v>1470664.32</v>
      </c>
      <c r="D20" s="103">
        <f t="shared" si="1"/>
        <v>510106</v>
      </c>
      <c r="E20" s="103">
        <f t="shared" si="1"/>
        <v>930558.3200000001</v>
      </c>
      <c r="F20" s="103">
        <f>SUM(F7:F18)</f>
        <v>0</v>
      </c>
      <c r="G20" s="103">
        <f t="shared" si="1"/>
        <v>0</v>
      </c>
      <c r="H20" s="103">
        <f t="shared" si="1"/>
        <v>30000</v>
      </c>
    </row>
    <row r="22" spans="1:7" ht="23.25">
      <c r="A22" s="328" t="s">
        <v>243</v>
      </c>
      <c r="B22" s="328"/>
      <c r="C22" s="329" t="s">
        <v>244</v>
      </c>
      <c r="D22" s="329"/>
      <c r="E22" s="329"/>
      <c r="F22" s="329" t="s">
        <v>244</v>
      </c>
      <c r="G22" s="329"/>
    </row>
    <row r="24" spans="1:7" ht="23.25">
      <c r="A24" s="328" t="s">
        <v>241</v>
      </c>
      <c r="B24" s="328"/>
      <c r="C24" s="329" t="s">
        <v>242</v>
      </c>
      <c r="D24" s="329"/>
      <c r="E24" s="329"/>
      <c r="F24" s="329" t="s">
        <v>289</v>
      </c>
      <c r="G24" s="329"/>
    </row>
    <row r="25" spans="1:7" ht="23.25">
      <c r="A25" s="328" t="s">
        <v>11</v>
      </c>
      <c r="B25" s="328"/>
      <c r="C25" s="329" t="s">
        <v>12</v>
      </c>
      <c r="D25" s="329"/>
      <c r="E25" s="329"/>
      <c r="F25" s="329" t="s">
        <v>290</v>
      </c>
      <c r="G25" s="329"/>
    </row>
    <row r="26" spans="6:7" ht="23.25">
      <c r="F26" s="329"/>
      <c r="G26" s="329"/>
    </row>
  </sheetData>
  <mergeCells count="19">
    <mergeCell ref="F26:G26"/>
    <mergeCell ref="A24:B24"/>
    <mergeCell ref="C24:E24"/>
    <mergeCell ref="F24:G24"/>
    <mergeCell ref="A25:B25"/>
    <mergeCell ref="C25:E25"/>
    <mergeCell ref="F25:G25"/>
    <mergeCell ref="H4:H5"/>
    <mergeCell ref="A22:B22"/>
    <mergeCell ref="C22:E22"/>
    <mergeCell ref="F22:G22"/>
    <mergeCell ref="A1:G1"/>
    <mergeCell ref="A2:G2"/>
    <mergeCell ref="A3:G3"/>
    <mergeCell ref="A4:A5"/>
    <mergeCell ref="B4:B5"/>
    <mergeCell ref="C4:C5"/>
    <mergeCell ref="E4:E5"/>
    <mergeCell ref="F4:F5"/>
  </mergeCells>
  <printOptions/>
  <pageMargins left="0" right="0" top="0.3937007874015748" bottom="0.3937007874015748" header="0.5118110236220472" footer="0.5118110236220472"/>
  <pageSetup horizontalDpi="600" verticalDpi="60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workbookViewId="0" topLeftCell="A4">
      <selection activeCell="B14" sqref="B14"/>
    </sheetView>
  </sheetViews>
  <sheetFormatPr defaultColWidth="9.140625" defaultRowHeight="12.75"/>
  <cols>
    <col min="1" max="1" width="26.140625" style="49" customWidth="1"/>
    <col min="2" max="2" width="15.140625" style="96" customWidth="1"/>
    <col min="3" max="3" width="20.7109375" style="96" customWidth="1"/>
    <col min="4" max="4" width="21.00390625" style="96" customWidth="1"/>
    <col min="5" max="5" width="38.00390625" style="96" customWidth="1"/>
    <col min="6" max="16384" width="9.140625" style="49" customWidth="1"/>
  </cols>
  <sheetData>
    <row r="1" spans="1:5" ht="23.25">
      <c r="A1" s="321" t="s">
        <v>245</v>
      </c>
      <c r="B1" s="321"/>
      <c r="C1" s="321"/>
      <c r="D1" s="321"/>
      <c r="E1" s="321"/>
    </row>
    <row r="2" spans="1:5" ht="23.25">
      <c r="A2" s="321" t="s">
        <v>386</v>
      </c>
      <c r="B2" s="321"/>
      <c r="C2" s="321"/>
      <c r="D2" s="321"/>
      <c r="E2" s="321"/>
    </row>
    <row r="3" spans="1:5" ht="23.25">
      <c r="A3" s="322" t="s">
        <v>344</v>
      </c>
      <c r="B3" s="322"/>
      <c r="C3" s="322"/>
      <c r="D3" s="322"/>
      <c r="E3" s="322"/>
    </row>
    <row r="4" spans="1:5" s="159" customFormat="1" ht="23.25">
      <c r="A4" s="323" t="s">
        <v>26</v>
      </c>
      <c r="B4" s="364" t="s">
        <v>53</v>
      </c>
      <c r="C4" s="364" t="s">
        <v>9</v>
      </c>
      <c r="D4" s="364" t="s">
        <v>328</v>
      </c>
      <c r="E4" s="157" t="s">
        <v>387</v>
      </c>
    </row>
    <row r="5" spans="1:5" s="159" customFormat="1" ht="23.25">
      <c r="A5" s="363"/>
      <c r="B5" s="365"/>
      <c r="C5" s="365"/>
      <c r="D5" s="366"/>
      <c r="E5" s="160" t="s">
        <v>388</v>
      </c>
    </row>
    <row r="6" spans="1:5" ht="23.25">
      <c r="A6" s="162" t="s">
        <v>223</v>
      </c>
      <c r="B6" s="163"/>
      <c r="C6" s="163"/>
      <c r="D6" s="163"/>
      <c r="E6" s="163"/>
    </row>
    <row r="7" spans="1:5" ht="23.25">
      <c r="A7" s="164" t="s">
        <v>332</v>
      </c>
      <c r="B7" s="102">
        <v>0</v>
      </c>
      <c r="C7" s="102">
        <f aca="true" t="shared" si="0" ref="C7:C18">SUM(D7:E7)</f>
        <v>0</v>
      </c>
      <c r="D7" s="102">
        <v>0</v>
      </c>
      <c r="E7" s="102">
        <v>0</v>
      </c>
    </row>
    <row r="8" spans="1:5" ht="23.25">
      <c r="A8" s="164" t="s">
        <v>333</v>
      </c>
      <c r="B8" s="102">
        <v>0</v>
      </c>
      <c r="C8" s="102">
        <f t="shared" si="0"/>
        <v>0</v>
      </c>
      <c r="D8" s="102">
        <v>0</v>
      </c>
      <c r="E8" s="102">
        <v>0</v>
      </c>
    </row>
    <row r="9" spans="1:5" ht="23.25">
      <c r="A9" s="164" t="s">
        <v>334</v>
      </c>
      <c r="B9" s="102">
        <v>0</v>
      </c>
      <c r="C9" s="102">
        <f t="shared" si="0"/>
        <v>0</v>
      </c>
      <c r="D9" s="102">
        <v>0</v>
      </c>
      <c r="E9" s="102">
        <v>0</v>
      </c>
    </row>
    <row r="10" spans="1:5" ht="23.25">
      <c r="A10" s="164" t="s">
        <v>335</v>
      </c>
      <c r="B10" s="102">
        <v>0</v>
      </c>
      <c r="C10" s="102">
        <f t="shared" si="0"/>
        <v>0</v>
      </c>
      <c r="D10" s="102">
        <v>0</v>
      </c>
      <c r="E10" s="102">
        <v>0</v>
      </c>
    </row>
    <row r="11" spans="1:5" ht="23.25">
      <c r="A11" s="164" t="s">
        <v>336</v>
      </c>
      <c r="B11" s="102">
        <f>10000+20000+50000+100000-50000</f>
        <v>130000</v>
      </c>
      <c r="C11" s="102">
        <f t="shared" si="0"/>
        <v>67950</v>
      </c>
      <c r="D11" s="102">
        <v>0</v>
      </c>
      <c r="E11" s="102">
        <f>17950+50000</f>
        <v>67950</v>
      </c>
    </row>
    <row r="12" spans="1:5" ht="23.25">
      <c r="A12" s="164" t="s">
        <v>337</v>
      </c>
      <c r="B12" s="102">
        <v>0</v>
      </c>
      <c r="C12" s="102">
        <f t="shared" si="0"/>
        <v>0</v>
      </c>
      <c r="D12" s="102">
        <v>0</v>
      </c>
      <c r="E12" s="102">
        <v>0</v>
      </c>
    </row>
    <row r="13" spans="1:5" ht="23.25">
      <c r="A13" s="164" t="s">
        <v>338</v>
      </c>
      <c r="B13" s="102">
        <v>0</v>
      </c>
      <c r="C13" s="102">
        <f t="shared" si="0"/>
        <v>0</v>
      </c>
      <c r="D13" s="102">
        <v>0</v>
      </c>
      <c r="E13" s="102">
        <v>0</v>
      </c>
    </row>
    <row r="14" spans="1:5" ht="23.25">
      <c r="A14" s="164" t="s">
        <v>339</v>
      </c>
      <c r="B14" s="102">
        <f>10000+20000+20000</f>
        <v>50000</v>
      </c>
      <c r="C14" s="102">
        <f t="shared" si="0"/>
        <v>30000</v>
      </c>
      <c r="D14" s="102">
        <v>0</v>
      </c>
      <c r="E14" s="102">
        <f>10000+20000</f>
        <v>30000</v>
      </c>
    </row>
    <row r="15" spans="1:5" ht="23.25">
      <c r="A15" s="164" t="s">
        <v>340</v>
      </c>
      <c r="B15" s="102">
        <v>0</v>
      </c>
      <c r="C15" s="102">
        <f t="shared" si="0"/>
        <v>0</v>
      </c>
      <c r="D15" s="102">
        <v>0</v>
      </c>
      <c r="E15" s="102">
        <v>0</v>
      </c>
    </row>
    <row r="16" spans="1:5" ht="23.25">
      <c r="A16" s="164" t="s">
        <v>341</v>
      </c>
      <c r="B16" s="102">
        <v>0</v>
      </c>
      <c r="C16" s="102">
        <f t="shared" si="0"/>
        <v>0</v>
      </c>
      <c r="D16" s="102">
        <v>0</v>
      </c>
      <c r="E16" s="102">
        <v>0</v>
      </c>
    </row>
    <row r="17" spans="1:5" ht="23.25">
      <c r="A17" s="164" t="s">
        <v>342</v>
      </c>
      <c r="B17" s="102">
        <v>0</v>
      </c>
      <c r="C17" s="102">
        <f t="shared" si="0"/>
        <v>0</v>
      </c>
      <c r="D17" s="102">
        <v>0</v>
      </c>
      <c r="E17" s="102">
        <v>0</v>
      </c>
    </row>
    <row r="18" spans="1:5" ht="23.25">
      <c r="A18" s="165" t="s">
        <v>343</v>
      </c>
      <c r="B18" s="166">
        <f>400000+50000</f>
        <v>450000</v>
      </c>
      <c r="C18" s="102">
        <f t="shared" si="0"/>
        <v>50000</v>
      </c>
      <c r="D18" s="166">
        <v>0</v>
      </c>
      <c r="E18" s="166">
        <v>50000</v>
      </c>
    </row>
    <row r="19" spans="1:5" ht="23.25">
      <c r="A19" s="165"/>
      <c r="B19" s="166"/>
      <c r="C19" s="166"/>
      <c r="D19" s="166"/>
      <c r="E19" s="166"/>
    </row>
    <row r="20" spans="1:5" s="159" customFormat="1" ht="23.25">
      <c r="A20" s="167" t="s">
        <v>9</v>
      </c>
      <c r="B20" s="103">
        <f>SUM(B7:B18)</f>
        <v>630000</v>
      </c>
      <c r="C20" s="103">
        <f>SUM(C7:C18)</f>
        <v>147950</v>
      </c>
      <c r="D20" s="103">
        <f>SUM(D7:D18)</f>
        <v>0</v>
      </c>
      <c r="E20" s="103">
        <f>SUM(E7:E18)</f>
        <v>147950</v>
      </c>
    </row>
    <row r="21" ht="15" customHeight="1"/>
    <row r="22" spans="1:5" ht="23.25">
      <c r="A22" s="328" t="s">
        <v>243</v>
      </c>
      <c r="B22" s="328"/>
      <c r="C22" s="329" t="s">
        <v>244</v>
      </c>
      <c r="D22" s="329"/>
      <c r="E22" s="168" t="s">
        <v>244</v>
      </c>
    </row>
    <row r="24" spans="1:5" ht="23.25">
      <c r="A24" s="328" t="s">
        <v>241</v>
      </c>
      <c r="B24" s="328"/>
      <c r="C24" s="329" t="s">
        <v>242</v>
      </c>
      <c r="D24" s="329"/>
      <c r="E24" s="168" t="s">
        <v>289</v>
      </c>
    </row>
    <row r="25" spans="1:5" ht="23.25">
      <c r="A25" s="328" t="s">
        <v>11</v>
      </c>
      <c r="B25" s="328"/>
      <c r="C25" s="329" t="s">
        <v>12</v>
      </c>
      <c r="D25" s="329"/>
      <c r="E25" s="168" t="s">
        <v>290</v>
      </c>
    </row>
    <row r="26" ht="23.25">
      <c r="E26" s="168"/>
    </row>
  </sheetData>
  <mergeCells count="13">
    <mergeCell ref="A25:B25"/>
    <mergeCell ref="C25:D25"/>
    <mergeCell ref="A22:B22"/>
    <mergeCell ref="C22:D22"/>
    <mergeCell ref="A24:B24"/>
    <mergeCell ref="C24:D24"/>
    <mergeCell ref="A1:E1"/>
    <mergeCell ref="A2:E2"/>
    <mergeCell ref="A3:E3"/>
    <mergeCell ref="A4:A5"/>
    <mergeCell ref="B4:B5"/>
    <mergeCell ref="C4:C5"/>
    <mergeCell ref="D4:D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workbookViewId="0" topLeftCell="A4">
      <selection activeCell="B16" sqref="B16"/>
    </sheetView>
  </sheetViews>
  <sheetFormatPr defaultColWidth="9.140625" defaultRowHeight="12.75"/>
  <cols>
    <col min="1" max="1" width="26.140625" style="49" customWidth="1"/>
    <col min="2" max="2" width="15.140625" style="96" customWidth="1"/>
    <col min="3" max="3" width="18.00390625" style="96" customWidth="1"/>
    <col min="4" max="4" width="32.00390625" style="96" customWidth="1"/>
    <col min="5" max="5" width="37.57421875" style="96" customWidth="1"/>
    <col min="6" max="16384" width="9.140625" style="49" customWidth="1"/>
  </cols>
  <sheetData>
    <row r="1" spans="1:5" ht="23.25">
      <c r="A1" s="321" t="s">
        <v>245</v>
      </c>
      <c r="B1" s="321"/>
      <c r="C1" s="321"/>
      <c r="D1" s="321"/>
      <c r="E1" s="321"/>
    </row>
    <row r="2" spans="1:5" ht="23.25">
      <c r="A2" s="321" t="s">
        <v>389</v>
      </c>
      <c r="B2" s="321"/>
      <c r="C2" s="321"/>
      <c r="D2" s="321"/>
      <c r="E2" s="321"/>
    </row>
    <row r="3" spans="1:5" ht="23.25">
      <c r="A3" s="322" t="s">
        <v>344</v>
      </c>
      <c r="B3" s="322"/>
      <c r="C3" s="322"/>
      <c r="D3" s="322"/>
      <c r="E3" s="322"/>
    </row>
    <row r="4" spans="1:5" s="159" customFormat="1" ht="23.25">
      <c r="A4" s="323" t="s">
        <v>26</v>
      </c>
      <c r="B4" s="364" t="s">
        <v>53</v>
      </c>
      <c r="C4" s="364" t="s">
        <v>9</v>
      </c>
      <c r="D4" s="157" t="s">
        <v>390</v>
      </c>
      <c r="E4" s="364" t="s">
        <v>391</v>
      </c>
    </row>
    <row r="5" spans="1:5" s="159" customFormat="1" ht="23.25">
      <c r="A5" s="363"/>
      <c r="B5" s="365"/>
      <c r="C5" s="365"/>
      <c r="D5" s="160" t="s">
        <v>392</v>
      </c>
      <c r="E5" s="365"/>
    </row>
    <row r="6" spans="1:5" ht="23.25">
      <c r="A6" s="162" t="s">
        <v>223</v>
      </c>
      <c r="B6" s="163"/>
      <c r="C6" s="163"/>
      <c r="D6" s="163"/>
      <c r="E6" s="163"/>
    </row>
    <row r="7" spans="1:5" ht="23.25">
      <c r="A7" s="164" t="s">
        <v>332</v>
      </c>
      <c r="B7" s="102">
        <v>0</v>
      </c>
      <c r="C7" s="102">
        <f>SUM(D7:E7)</f>
        <v>0</v>
      </c>
      <c r="D7" s="102">
        <v>0</v>
      </c>
      <c r="E7" s="102">
        <v>0</v>
      </c>
    </row>
    <row r="8" spans="1:5" ht="23.25">
      <c r="A8" s="164" t="s">
        <v>333</v>
      </c>
      <c r="B8" s="102">
        <v>0</v>
      </c>
      <c r="C8" s="102">
        <f>SUM(D8:E8)</f>
        <v>0</v>
      </c>
      <c r="D8" s="102">
        <v>0</v>
      </c>
      <c r="E8" s="102">
        <v>0</v>
      </c>
    </row>
    <row r="9" spans="1:5" ht="23.25">
      <c r="A9" s="164" t="s">
        <v>334</v>
      </c>
      <c r="B9" s="102">
        <v>0</v>
      </c>
      <c r="C9" s="102">
        <f>SUM(D9:E9)</f>
        <v>0</v>
      </c>
      <c r="D9" s="102">
        <v>0</v>
      </c>
      <c r="E9" s="102">
        <v>0</v>
      </c>
    </row>
    <row r="10" spans="1:5" ht="23.25">
      <c r="A10" s="164" t="s">
        <v>335</v>
      </c>
      <c r="B10" s="102">
        <v>0</v>
      </c>
      <c r="C10" s="102">
        <f>SUM(D10:E10)</f>
        <v>0</v>
      </c>
      <c r="D10" s="102">
        <v>0</v>
      </c>
      <c r="E10" s="102">
        <v>0</v>
      </c>
    </row>
    <row r="11" spans="1:5" ht="23.25">
      <c r="A11" s="164" t="s">
        <v>336</v>
      </c>
      <c r="B11" s="102">
        <v>0</v>
      </c>
      <c r="C11" s="102">
        <f>SUM(D11:E11)</f>
        <v>0</v>
      </c>
      <c r="D11" s="102">
        <v>0</v>
      </c>
      <c r="E11" s="102">
        <v>0</v>
      </c>
    </row>
    <row r="12" spans="1:5" ht="23.25">
      <c r="A12" s="164" t="s">
        <v>337</v>
      </c>
      <c r="B12" s="102">
        <v>0</v>
      </c>
      <c r="C12" s="102">
        <v>0</v>
      </c>
      <c r="D12" s="102">
        <v>0</v>
      </c>
      <c r="E12" s="102">
        <v>0</v>
      </c>
    </row>
    <row r="13" spans="1:5" ht="23.25">
      <c r="A13" s="164" t="s">
        <v>338</v>
      </c>
      <c r="B13" s="102">
        <v>0</v>
      </c>
      <c r="C13" s="102">
        <f aca="true" t="shared" si="0" ref="C13:C18">SUM(D13:E13)</f>
        <v>0</v>
      </c>
      <c r="D13" s="102">
        <v>0</v>
      </c>
      <c r="E13" s="102">
        <v>0</v>
      </c>
    </row>
    <row r="14" spans="1:5" ht="23.25">
      <c r="A14" s="164" t="s">
        <v>339</v>
      </c>
      <c r="B14" s="102">
        <v>0</v>
      </c>
      <c r="C14" s="102">
        <f t="shared" si="0"/>
        <v>0</v>
      </c>
      <c r="D14" s="102">
        <v>0</v>
      </c>
      <c r="E14" s="102">
        <v>0</v>
      </c>
    </row>
    <row r="15" spans="1:5" ht="23.25">
      <c r="A15" s="164" t="s">
        <v>340</v>
      </c>
      <c r="B15" s="102">
        <v>0</v>
      </c>
      <c r="C15" s="102">
        <f t="shared" si="0"/>
        <v>0</v>
      </c>
      <c r="D15" s="102">
        <v>0</v>
      </c>
      <c r="E15" s="102">
        <v>0</v>
      </c>
    </row>
    <row r="16" spans="1:5" ht="23.25">
      <c r="A16" s="164" t="s">
        <v>341</v>
      </c>
      <c r="B16" s="102">
        <v>0</v>
      </c>
      <c r="C16" s="102">
        <f t="shared" si="0"/>
        <v>0</v>
      </c>
      <c r="D16" s="102">
        <v>0</v>
      </c>
      <c r="E16" s="102">
        <v>0</v>
      </c>
    </row>
    <row r="17" spans="1:5" ht="23.25">
      <c r="A17" s="164" t="s">
        <v>342</v>
      </c>
      <c r="B17" s="102">
        <v>0</v>
      </c>
      <c r="C17" s="102">
        <f t="shared" si="0"/>
        <v>0</v>
      </c>
      <c r="D17" s="102">
        <v>0</v>
      </c>
      <c r="E17" s="102">
        <v>0</v>
      </c>
    </row>
    <row r="18" spans="1:5" ht="23.25">
      <c r="A18" s="165" t="s">
        <v>343</v>
      </c>
      <c r="B18" s="166">
        <v>0</v>
      </c>
      <c r="C18" s="102">
        <f t="shared" si="0"/>
        <v>0</v>
      </c>
      <c r="D18" s="166">
        <v>0</v>
      </c>
      <c r="E18" s="166">
        <v>0</v>
      </c>
    </row>
    <row r="19" spans="1:5" ht="23.25">
      <c r="A19" s="165"/>
      <c r="B19" s="166"/>
      <c r="C19" s="166"/>
      <c r="D19" s="166"/>
      <c r="E19" s="166"/>
    </row>
    <row r="20" spans="1:5" s="159" customFormat="1" ht="23.25">
      <c r="A20" s="167" t="s">
        <v>9</v>
      </c>
      <c r="B20" s="103">
        <f>SUM(B7:B18)</f>
        <v>0</v>
      </c>
      <c r="C20" s="103">
        <f>SUM(C7:C18)</f>
        <v>0</v>
      </c>
      <c r="D20" s="103">
        <f>SUM(D7:D18)</f>
        <v>0</v>
      </c>
      <c r="E20" s="103">
        <f>SUM(E7:E18)</f>
        <v>0</v>
      </c>
    </row>
    <row r="21" ht="14.25" customHeight="1"/>
    <row r="22" spans="1:5" ht="23.25">
      <c r="A22" s="328" t="s">
        <v>243</v>
      </c>
      <c r="B22" s="328"/>
      <c r="C22" s="329" t="s">
        <v>244</v>
      </c>
      <c r="D22" s="329"/>
      <c r="E22" s="168" t="s">
        <v>244</v>
      </c>
    </row>
    <row r="24" spans="1:5" ht="23.25">
      <c r="A24" s="328" t="s">
        <v>241</v>
      </c>
      <c r="B24" s="328"/>
      <c r="C24" s="329" t="s">
        <v>242</v>
      </c>
      <c r="D24" s="329"/>
      <c r="E24" s="168" t="s">
        <v>289</v>
      </c>
    </row>
    <row r="25" spans="1:5" ht="23.25">
      <c r="A25" s="328" t="s">
        <v>11</v>
      </c>
      <c r="B25" s="328"/>
      <c r="C25" s="329" t="s">
        <v>12</v>
      </c>
      <c r="D25" s="329"/>
      <c r="E25" s="168" t="s">
        <v>290</v>
      </c>
    </row>
    <row r="26" spans="1:5" ht="23.25">
      <c r="A26" s="321"/>
      <c r="B26" s="321"/>
      <c r="C26" s="321"/>
      <c r="D26" s="321"/>
      <c r="E26" s="321"/>
    </row>
  </sheetData>
  <mergeCells count="14">
    <mergeCell ref="A25:B25"/>
    <mergeCell ref="C25:D25"/>
    <mergeCell ref="A26:E26"/>
    <mergeCell ref="A22:B22"/>
    <mergeCell ref="C22:D22"/>
    <mergeCell ref="A24:B24"/>
    <mergeCell ref="C24:D24"/>
    <mergeCell ref="A1:E1"/>
    <mergeCell ref="A2:E2"/>
    <mergeCell ref="A3:E3"/>
    <mergeCell ref="A4:A5"/>
    <mergeCell ref="B4:B5"/>
    <mergeCell ref="C4:C5"/>
    <mergeCell ref="E4:E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129"/>
  <sheetViews>
    <sheetView view="pageBreakPreview" zoomScaleSheetLayoutView="100" workbookViewId="0" topLeftCell="A10">
      <selection activeCell="E25" sqref="E25"/>
    </sheetView>
  </sheetViews>
  <sheetFormatPr defaultColWidth="9.140625" defaultRowHeight="12.75"/>
  <cols>
    <col min="1" max="1" width="20.140625" style="49" customWidth="1"/>
    <col min="2" max="2" width="13.421875" style="96" customWidth="1"/>
    <col min="3" max="3" width="13.57421875" style="96" customWidth="1"/>
    <col min="4" max="4" width="12.57421875" style="96" customWidth="1"/>
    <col min="5" max="5" width="12.7109375" style="96" customWidth="1"/>
    <col min="6" max="6" width="12.421875" style="96" customWidth="1"/>
    <col min="7" max="7" width="11.7109375" style="96" customWidth="1"/>
    <col min="8" max="8" width="11.7109375" style="49" customWidth="1"/>
    <col min="9" max="9" width="12.421875" style="49" customWidth="1"/>
    <col min="10" max="10" width="14.421875" style="49" customWidth="1"/>
    <col min="11" max="11" width="16.7109375" style="49" customWidth="1"/>
    <col min="12" max="12" width="12.00390625" style="49" customWidth="1"/>
    <col min="13" max="13" width="10.421875" style="49" customWidth="1"/>
    <col min="14" max="14" width="10.57421875" style="49" customWidth="1"/>
    <col min="15" max="15" width="12.57421875" style="49" customWidth="1"/>
    <col min="16" max="17" width="9.140625" style="49" customWidth="1"/>
    <col min="18" max="18" width="10.28125" style="49" bestFit="1" customWidth="1"/>
    <col min="19" max="16384" width="9.140625" style="49" customWidth="1"/>
  </cols>
  <sheetData>
    <row r="3" spans="1:15" ht="23.25">
      <c r="A3" s="321" t="s">
        <v>245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1:15" ht="23.25">
      <c r="A4" s="321" t="s">
        <v>393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1:15" ht="23.25">
      <c r="A5" s="322" t="s">
        <v>344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pans="1:15" s="159" customFormat="1" ht="23.25">
      <c r="A6" s="323" t="s">
        <v>26</v>
      </c>
      <c r="B6" s="364" t="s">
        <v>53</v>
      </c>
      <c r="C6" s="364" t="s">
        <v>9</v>
      </c>
      <c r="D6" s="157" t="s">
        <v>394</v>
      </c>
      <c r="E6" s="158" t="s">
        <v>395</v>
      </c>
      <c r="F6" s="364" t="s">
        <v>396</v>
      </c>
      <c r="G6" s="364" t="s">
        <v>375</v>
      </c>
      <c r="H6" s="170" t="s">
        <v>397</v>
      </c>
      <c r="I6" s="155" t="s">
        <v>398</v>
      </c>
      <c r="J6" s="187" t="s">
        <v>399</v>
      </c>
      <c r="K6" s="189" t="s">
        <v>400</v>
      </c>
      <c r="L6" s="187" t="s">
        <v>401</v>
      </c>
      <c r="M6" s="155" t="s">
        <v>402</v>
      </c>
      <c r="N6" s="170" t="s">
        <v>403</v>
      </c>
      <c r="O6" s="171" t="s">
        <v>224</v>
      </c>
    </row>
    <row r="7" spans="1:15" s="159" customFormat="1" ht="23.25">
      <c r="A7" s="367"/>
      <c r="B7" s="368"/>
      <c r="C7" s="368"/>
      <c r="D7" s="160" t="s">
        <v>404</v>
      </c>
      <c r="E7" s="161" t="s">
        <v>405</v>
      </c>
      <c r="F7" s="368"/>
      <c r="G7" s="368"/>
      <c r="H7" s="172" t="s">
        <v>406</v>
      </c>
      <c r="I7" s="156" t="s">
        <v>407</v>
      </c>
      <c r="J7" s="188" t="s">
        <v>408</v>
      </c>
      <c r="K7" s="190" t="s">
        <v>409</v>
      </c>
      <c r="L7" s="188" t="s">
        <v>392</v>
      </c>
      <c r="M7" s="86"/>
      <c r="N7" s="173"/>
      <c r="O7" s="87"/>
    </row>
    <row r="8" spans="1:15" ht="23.25">
      <c r="A8" s="162" t="s">
        <v>223</v>
      </c>
      <c r="B8" s="163"/>
      <c r="C8" s="163"/>
      <c r="D8" s="163"/>
      <c r="E8" s="163"/>
      <c r="F8" s="163"/>
      <c r="G8" s="163"/>
      <c r="H8" s="174"/>
      <c r="I8" s="174"/>
      <c r="J8" s="174"/>
      <c r="K8" s="174"/>
      <c r="L8" s="174"/>
      <c r="M8" s="174"/>
      <c r="N8" s="174"/>
      <c r="O8" s="174"/>
    </row>
    <row r="9" spans="1:18" ht="23.25">
      <c r="A9" s="164" t="s">
        <v>453</v>
      </c>
      <c r="B9" s="102">
        <f>3101040+157400+157680</f>
        <v>3416120</v>
      </c>
      <c r="C9" s="102">
        <f>SUM(D9:O9)</f>
        <v>3006655</v>
      </c>
      <c r="D9" s="102">
        <v>2721175</v>
      </c>
      <c r="E9" s="102">
        <v>0</v>
      </c>
      <c r="F9" s="102">
        <v>143100</v>
      </c>
      <c r="G9" s="102">
        <v>0</v>
      </c>
      <c r="H9" s="102">
        <v>0</v>
      </c>
      <c r="I9" s="102">
        <v>142380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R9" s="95"/>
    </row>
    <row r="10" spans="1:18" ht="23.25">
      <c r="A10" s="164" t="s">
        <v>454</v>
      </c>
      <c r="B10" s="102">
        <f>106380</f>
        <v>106380</v>
      </c>
      <c r="C10" s="102">
        <f aca="true" t="shared" si="0" ref="C10:C20">SUM(D10:O10)</f>
        <v>106380</v>
      </c>
      <c r="D10" s="102">
        <v>106380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R10" s="95"/>
    </row>
    <row r="11" spans="1:18" ht="23.25">
      <c r="A11" s="164" t="s">
        <v>455</v>
      </c>
      <c r="B11" s="102">
        <f>187980+190120+196800</f>
        <v>574900</v>
      </c>
      <c r="C11" s="102">
        <f t="shared" si="0"/>
        <v>372340</v>
      </c>
      <c r="D11" s="102">
        <v>187980</v>
      </c>
      <c r="E11" s="102">
        <v>0</v>
      </c>
      <c r="F11" s="102">
        <v>3960</v>
      </c>
      <c r="G11" s="102">
        <v>0</v>
      </c>
      <c r="H11" s="102">
        <v>0</v>
      </c>
      <c r="I11" s="102">
        <v>180400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R11" s="95"/>
    </row>
    <row r="12" spans="1:15" ht="23.25">
      <c r="A12" s="164" t="s">
        <v>456</v>
      </c>
      <c r="B12" s="102">
        <f>531780+109250+108830</f>
        <v>749860</v>
      </c>
      <c r="C12" s="102">
        <f t="shared" si="0"/>
        <v>650808.5</v>
      </c>
      <c r="D12" s="102">
        <v>472781.5</v>
      </c>
      <c r="E12" s="102">
        <v>0</v>
      </c>
      <c r="F12" s="102">
        <v>95015</v>
      </c>
      <c r="G12" s="102">
        <v>0</v>
      </c>
      <c r="H12" s="102">
        <v>0</v>
      </c>
      <c r="I12" s="102">
        <v>83012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</row>
    <row r="13" spans="1:15" ht="23.25">
      <c r="A13" s="164" t="s">
        <v>457</v>
      </c>
      <c r="B13" s="102">
        <f>572270+349100+459400+50000+50000+106380+75000+100000+130000</f>
        <v>1892150</v>
      </c>
      <c r="C13" s="102">
        <f t="shared" si="0"/>
        <v>1451975</v>
      </c>
      <c r="D13" s="102">
        <v>419265</v>
      </c>
      <c r="E13" s="102">
        <v>46980</v>
      </c>
      <c r="F13" s="102">
        <v>221601</v>
      </c>
      <c r="G13" s="102">
        <v>74731</v>
      </c>
      <c r="H13" s="102">
        <v>72588</v>
      </c>
      <c r="I13" s="102">
        <v>107040</v>
      </c>
      <c r="J13" s="102">
        <v>67950</v>
      </c>
      <c r="K13" s="102">
        <v>414920</v>
      </c>
      <c r="L13" s="102">
        <v>0</v>
      </c>
      <c r="M13" s="102">
        <v>26900</v>
      </c>
      <c r="N13" s="102">
        <v>0</v>
      </c>
      <c r="O13" s="102">
        <v>0</v>
      </c>
    </row>
    <row r="14" spans="1:15" ht="23.25">
      <c r="A14" s="164" t="s">
        <v>458</v>
      </c>
      <c r="B14" s="102">
        <f>158079+909358+50000+70000+27441</f>
        <v>1214878</v>
      </c>
      <c r="C14" s="102">
        <f t="shared" si="0"/>
        <v>1083781.8</v>
      </c>
      <c r="D14" s="102">
        <v>107425</v>
      </c>
      <c r="E14" s="102">
        <v>0</v>
      </c>
      <c r="F14" s="102">
        <v>844600.8</v>
      </c>
      <c r="G14" s="102">
        <v>0</v>
      </c>
      <c r="H14" s="102">
        <v>70000</v>
      </c>
      <c r="I14" s="102">
        <v>11774</v>
      </c>
      <c r="J14" s="102">
        <v>0</v>
      </c>
      <c r="K14" s="102">
        <v>49982</v>
      </c>
      <c r="L14" s="102">
        <v>0</v>
      </c>
      <c r="M14" s="102">
        <v>0</v>
      </c>
      <c r="N14" s="102">
        <v>0</v>
      </c>
      <c r="O14" s="102">
        <v>0</v>
      </c>
    </row>
    <row r="15" spans="1:15" ht="23.25">
      <c r="A15" s="164" t="s">
        <v>459</v>
      </c>
      <c r="B15" s="102">
        <f>132483</f>
        <v>132483</v>
      </c>
      <c r="C15" s="102">
        <f t="shared" si="0"/>
        <v>114913.94</v>
      </c>
      <c r="D15" s="102">
        <v>114913.94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</row>
    <row r="16" spans="1:15" ht="23.25">
      <c r="A16" s="164" t="s">
        <v>460</v>
      </c>
      <c r="B16" s="102">
        <f>1088200+70000+136000+70000+55000+311559+50000</f>
        <v>1780759</v>
      </c>
      <c r="C16" s="102">
        <f t="shared" si="0"/>
        <v>1568246.32</v>
      </c>
      <c r="D16" s="102">
        <v>0</v>
      </c>
      <c r="E16" s="102">
        <v>0</v>
      </c>
      <c r="F16" s="102">
        <v>1056688</v>
      </c>
      <c r="G16" s="102">
        <v>70000</v>
      </c>
      <c r="H16" s="102">
        <v>30000</v>
      </c>
      <c r="I16" s="102">
        <v>311558.32</v>
      </c>
      <c r="J16" s="102">
        <v>30000</v>
      </c>
      <c r="K16" s="102">
        <v>70000</v>
      </c>
      <c r="L16" s="102">
        <v>0</v>
      </c>
      <c r="M16" s="102">
        <v>0</v>
      </c>
      <c r="N16" s="102">
        <v>0</v>
      </c>
      <c r="O16" s="102">
        <v>0</v>
      </c>
    </row>
    <row r="17" spans="1:15" ht="23.25">
      <c r="A17" s="164" t="s">
        <v>461</v>
      </c>
      <c r="B17" s="102">
        <f>20000</f>
        <v>20000</v>
      </c>
      <c r="C17" s="102">
        <f t="shared" si="0"/>
        <v>20000</v>
      </c>
      <c r="D17" s="102">
        <v>20000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</row>
    <row r="18" spans="1:15" ht="23.25">
      <c r="A18" s="164" t="s">
        <v>462</v>
      </c>
      <c r="B18" s="102">
        <v>1213505</v>
      </c>
      <c r="C18" s="102">
        <f t="shared" si="0"/>
        <v>421144.33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421144.33</v>
      </c>
    </row>
    <row r="19" spans="1:15" ht="23.25">
      <c r="A19" s="164" t="s">
        <v>463</v>
      </c>
      <c r="B19" s="102">
        <f>820000+8780+14000+15500</f>
        <v>858280</v>
      </c>
      <c r="C19" s="102">
        <f t="shared" si="0"/>
        <v>802930</v>
      </c>
      <c r="D19" s="102">
        <v>773430</v>
      </c>
      <c r="E19" s="102">
        <v>14000</v>
      </c>
      <c r="F19" s="102">
        <v>0</v>
      </c>
      <c r="G19" s="102">
        <v>0</v>
      </c>
      <c r="H19" s="102">
        <v>0</v>
      </c>
      <c r="I19" s="102">
        <v>15500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</row>
    <row r="20" spans="1:15" ht="23.25">
      <c r="A20" s="165" t="s">
        <v>464</v>
      </c>
      <c r="B20" s="166">
        <f>70000+65000+2656400+450000+348000</f>
        <v>3589400</v>
      </c>
      <c r="C20" s="102">
        <f t="shared" si="0"/>
        <v>734000</v>
      </c>
      <c r="D20" s="166">
        <v>0</v>
      </c>
      <c r="E20" s="166">
        <v>65000</v>
      </c>
      <c r="F20" s="166">
        <v>0</v>
      </c>
      <c r="G20" s="166">
        <v>0</v>
      </c>
      <c r="H20" s="102">
        <v>0</v>
      </c>
      <c r="I20" s="102">
        <v>619000</v>
      </c>
      <c r="J20" s="102">
        <v>50000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</row>
    <row r="21" spans="1:15" s="159" customFormat="1" ht="24" thickBot="1">
      <c r="A21" s="167" t="s">
        <v>227</v>
      </c>
      <c r="B21" s="175">
        <f aca="true" t="shared" si="1" ref="B21:O21">SUM(B9:B20)</f>
        <v>15548715</v>
      </c>
      <c r="C21" s="175">
        <f t="shared" si="1"/>
        <v>10333174.89</v>
      </c>
      <c r="D21" s="175">
        <f t="shared" si="1"/>
        <v>4923350.4399999995</v>
      </c>
      <c r="E21" s="175">
        <f t="shared" si="1"/>
        <v>125980</v>
      </c>
      <c r="F21" s="175">
        <f t="shared" si="1"/>
        <v>2364964.8</v>
      </c>
      <c r="G21" s="175">
        <f t="shared" si="1"/>
        <v>144731</v>
      </c>
      <c r="H21" s="175">
        <f t="shared" si="1"/>
        <v>172588</v>
      </c>
      <c r="I21" s="175">
        <f t="shared" si="1"/>
        <v>1470664.32</v>
      </c>
      <c r="J21" s="175">
        <f t="shared" si="1"/>
        <v>147950</v>
      </c>
      <c r="K21" s="175">
        <f t="shared" si="1"/>
        <v>534902</v>
      </c>
      <c r="L21" s="175">
        <f t="shared" si="1"/>
        <v>0</v>
      </c>
      <c r="M21" s="175">
        <f t="shared" si="1"/>
        <v>26900</v>
      </c>
      <c r="N21" s="175">
        <f t="shared" si="1"/>
        <v>0</v>
      </c>
      <c r="O21" s="175">
        <f t="shared" si="1"/>
        <v>421144.33</v>
      </c>
    </row>
    <row r="22" spans="1:15" s="159" customFormat="1" ht="24" thickTop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</row>
    <row r="23" spans="1:15" s="159" customFormat="1" ht="23.25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s="159" customFormat="1" ht="10.5" customHeight="1">
      <c r="A24" s="178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</row>
    <row r="25" spans="1:15" ht="23.25">
      <c r="A25" s="328" t="s">
        <v>243</v>
      </c>
      <c r="B25" s="328"/>
      <c r="C25" s="328"/>
      <c r="D25" s="168"/>
      <c r="E25" s="168"/>
      <c r="F25" s="168"/>
      <c r="G25" s="329" t="s">
        <v>244</v>
      </c>
      <c r="H25" s="329"/>
      <c r="I25" s="329"/>
      <c r="L25" s="329" t="s">
        <v>244</v>
      </c>
      <c r="M25" s="329"/>
      <c r="N25" s="329"/>
      <c r="O25" s="329"/>
    </row>
    <row r="26" spans="1:13" ht="23.25">
      <c r="A26" s="154"/>
      <c r="B26" s="154"/>
      <c r="C26" s="154"/>
      <c r="D26" s="168"/>
      <c r="E26" s="168"/>
      <c r="F26" s="168"/>
      <c r="G26" s="168"/>
      <c r="H26" s="168"/>
      <c r="I26" s="168"/>
      <c r="L26" s="168"/>
      <c r="M26" s="168"/>
    </row>
    <row r="27" spans="1:13" ht="23.25">
      <c r="A27" s="154"/>
      <c r="B27" s="154"/>
      <c r="C27" s="179"/>
      <c r="D27" s="168"/>
      <c r="E27" s="168"/>
      <c r="F27" s="168"/>
      <c r="G27" s="168"/>
      <c r="H27" s="168"/>
      <c r="I27" s="168"/>
      <c r="L27" s="168"/>
      <c r="M27" s="168"/>
    </row>
    <row r="28" spans="1:15" ht="23.25">
      <c r="A28" s="328" t="s">
        <v>241</v>
      </c>
      <c r="B28" s="328"/>
      <c r="C28" s="328"/>
      <c r="D28" s="168"/>
      <c r="E28" s="168"/>
      <c r="F28" s="168"/>
      <c r="G28" s="329" t="s">
        <v>242</v>
      </c>
      <c r="H28" s="329"/>
      <c r="I28" s="329"/>
      <c r="L28" s="329" t="s">
        <v>289</v>
      </c>
      <c r="M28" s="329"/>
      <c r="N28" s="329"/>
      <c r="O28" s="329"/>
    </row>
    <row r="29" spans="1:15" ht="23.25">
      <c r="A29" s="328" t="s">
        <v>11</v>
      </c>
      <c r="B29" s="328"/>
      <c r="C29" s="328"/>
      <c r="D29" s="168"/>
      <c r="E29" s="168"/>
      <c r="F29" s="168"/>
      <c r="G29" s="329" t="s">
        <v>12</v>
      </c>
      <c r="H29" s="329"/>
      <c r="I29" s="329"/>
      <c r="L29" s="329" t="s">
        <v>290</v>
      </c>
      <c r="M29" s="329"/>
      <c r="N29" s="329"/>
      <c r="O29" s="329"/>
    </row>
    <row r="30" spans="12:15" ht="23.25">
      <c r="L30" s="328"/>
      <c r="M30" s="328"/>
      <c r="N30" s="328"/>
      <c r="O30" s="328"/>
    </row>
    <row r="42" spans="2:7" ht="23.25">
      <c r="B42" s="96" t="s">
        <v>410</v>
      </c>
      <c r="C42" s="96" t="s">
        <v>275</v>
      </c>
      <c r="D42" s="96" t="s">
        <v>276</v>
      </c>
      <c r="E42" s="96" t="s">
        <v>278</v>
      </c>
      <c r="F42" s="96" t="s">
        <v>277</v>
      </c>
      <c r="G42" s="96" t="s">
        <v>9</v>
      </c>
    </row>
    <row r="43" ht="23.25">
      <c r="A43" s="96" t="s">
        <v>411</v>
      </c>
    </row>
    <row r="44" spans="1:7" ht="23.25">
      <c r="A44" s="96" t="s">
        <v>412</v>
      </c>
      <c r="B44" s="96">
        <f>15336+1839+74552</f>
        <v>91727</v>
      </c>
      <c r="C44" s="96">
        <f>50350+2350+3500</f>
        <v>56200</v>
      </c>
      <c r="D44" s="96">
        <f>32690+3000</f>
        <v>35690</v>
      </c>
      <c r="E44" s="96">
        <f aca="true" t="shared" si="2" ref="E44:E49">10420+1280</f>
        <v>11700</v>
      </c>
      <c r="F44" s="96">
        <f aca="true" t="shared" si="3" ref="F44:F49">9940+1500</f>
        <v>11440</v>
      </c>
      <c r="G44" s="96">
        <f aca="true" t="shared" si="4" ref="G44:G55">SUM(B44:F44)</f>
        <v>206757</v>
      </c>
    </row>
    <row r="45" spans="1:7" ht="23.25">
      <c r="A45" s="49" t="s">
        <v>413</v>
      </c>
      <c r="B45" s="96">
        <f>23600+5700+78850</f>
        <v>108150</v>
      </c>
      <c r="C45" s="96">
        <f>50350+2350+3500</f>
        <v>56200</v>
      </c>
      <c r="D45" s="96">
        <f>32690+3000</f>
        <v>35690</v>
      </c>
      <c r="E45" s="96">
        <f t="shared" si="2"/>
        <v>11700</v>
      </c>
      <c r="F45" s="96">
        <f t="shared" si="3"/>
        <v>11440</v>
      </c>
      <c r="G45" s="96">
        <f t="shared" si="4"/>
        <v>223180</v>
      </c>
    </row>
    <row r="46" spans="1:7" ht="23.25">
      <c r="A46" s="96" t="s">
        <v>414</v>
      </c>
      <c r="B46" s="96">
        <f>23600+5700+78850</f>
        <v>108150</v>
      </c>
      <c r="C46" s="96">
        <f>50669+2350+3500</f>
        <v>56519</v>
      </c>
      <c r="D46" s="96">
        <f>32690+3000</f>
        <v>35690</v>
      </c>
      <c r="E46" s="96">
        <f t="shared" si="2"/>
        <v>11700</v>
      </c>
      <c r="F46" s="96">
        <f t="shared" si="3"/>
        <v>11440</v>
      </c>
      <c r="G46" s="96">
        <f t="shared" si="4"/>
        <v>223499</v>
      </c>
    </row>
    <row r="47" spans="1:7" ht="23.25">
      <c r="A47" s="49" t="s">
        <v>415</v>
      </c>
      <c r="B47" s="96">
        <f>23600+5700+78850</f>
        <v>108150</v>
      </c>
      <c r="C47" s="96">
        <f>50450+2350+3500</f>
        <v>56300</v>
      </c>
      <c r="D47" s="96">
        <f>32690+3000</f>
        <v>35690</v>
      </c>
      <c r="E47" s="96">
        <f t="shared" si="2"/>
        <v>11700</v>
      </c>
      <c r="F47" s="96">
        <f t="shared" si="3"/>
        <v>11440</v>
      </c>
      <c r="G47" s="96">
        <f t="shared" si="4"/>
        <v>223280</v>
      </c>
    </row>
    <row r="48" spans="1:7" ht="23.25">
      <c r="A48" s="96" t="s">
        <v>416</v>
      </c>
      <c r="B48" s="96">
        <f>23600+5700+78850</f>
        <v>108150</v>
      </c>
      <c r="C48" s="96">
        <f>50450+2350+3500</f>
        <v>56300</v>
      </c>
      <c r="D48" s="96">
        <f>32690+3000</f>
        <v>35690</v>
      </c>
      <c r="E48" s="96">
        <f t="shared" si="2"/>
        <v>11700</v>
      </c>
      <c r="F48" s="96">
        <f t="shared" si="3"/>
        <v>11440</v>
      </c>
      <c r="G48" s="96">
        <f t="shared" si="4"/>
        <v>223280</v>
      </c>
    </row>
    <row r="49" spans="1:7" ht="23.25">
      <c r="A49" s="49" t="s">
        <v>417</v>
      </c>
      <c r="B49" s="96">
        <f>23600+78850+5700</f>
        <v>108150</v>
      </c>
      <c r="C49" s="96">
        <f>50450+2350+3500</f>
        <v>56300</v>
      </c>
      <c r="D49" s="96">
        <f>34102+3000</f>
        <v>37102</v>
      </c>
      <c r="E49" s="96">
        <f t="shared" si="2"/>
        <v>11700</v>
      </c>
      <c r="F49" s="96">
        <f t="shared" si="3"/>
        <v>11440</v>
      </c>
      <c r="G49" s="96">
        <f t="shared" si="4"/>
        <v>224692</v>
      </c>
    </row>
    <row r="50" spans="1:7" ht="23.25">
      <c r="A50" s="96" t="s">
        <v>418</v>
      </c>
      <c r="B50" s="96">
        <f aca="true" t="shared" si="5" ref="B50:B55">23600+5700+78850</f>
        <v>108150</v>
      </c>
      <c r="C50" s="96">
        <f>52310+1850+3500</f>
        <v>57660</v>
      </c>
      <c r="D50" s="96">
        <f aca="true" t="shared" si="6" ref="D50:D55">33720+3000</f>
        <v>36720</v>
      </c>
      <c r="E50" s="96">
        <f aca="true" t="shared" si="7" ref="E50:E55">10770+930</f>
        <v>11700</v>
      </c>
      <c r="F50" s="96">
        <f aca="true" t="shared" si="8" ref="F50:F55">10190+1500</f>
        <v>11690</v>
      </c>
      <c r="G50" s="96">
        <f t="shared" si="4"/>
        <v>225920</v>
      </c>
    </row>
    <row r="51" spans="1:7" ht="23.25">
      <c r="A51" s="49" t="s">
        <v>419</v>
      </c>
      <c r="B51" s="96">
        <f t="shared" si="5"/>
        <v>108150</v>
      </c>
      <c r="C51" s="96">
        <f>52310+1850+3500</f>
        <v>57660</v>
      </c>
      <c r="D51" s="96">
        <f t="shared" si="6"/>
        <v>36720</v>
      </c>
      <c r="E51" s="96">
        <f t="shared" si="7"/>
        <v>11700</v>
      </c>
      <c r="F51" s="96">
        <f t="shared" si="8"/>
        <v>11690</v>
      </c>
      <c r="G51" s="96">
        <f t="shared" si="4"/>
        <v>225920</v>
      </c>
    </row>
    <row r="52" spans="1:7" ht="23.25">
      <c r="A52" s="96" t="s">
        <v>420</v>
      </c>
      <c r="B52" s="96">
        <f t="shared" si="5"/>
        <v>108150</v>
      </c>
      <c r="C52" s="96">
        <f>52310+1850+3500</f>
        <v>57660</v>
      </c>
      <c r="D52" s="96">
        <f t="shared" si="6"/>
        <v>36720</v>
      </c>
      <c r="E52" s="96">
        <f t="shared" si="7"/>
        <v>11700</v>
      </c>
      <c r="F52" s="96">
        <f t="shared" si="8"/>
        <v>11690</v>
      </c>
      <c r="G52" s="96">
        <f t="shared" si="4"/>
        <v>225920</v>
      </c>
    </row>
    <row r="53" spans="1:7" ht="23.25">
      <c r="A53" s="49" t="s">
        <v>421</v>
      </c>
      <c r="B53" s="96">
        <f t="shared" si="5"/>
        <v>108150</v>
      </c>
      <c r="C53" s="96">
        <f>52310+1850+3500</f>
        <v>57660</v>
      </c>
      <c r="D53" s="96">
        <f t="shared" si="6"/>
        <v>36720</v>
      </c>
      <c r="E53" s="96">
        <f t="shared" si="7"/>
        <v>11700</v>
      </c>
      <c r="F53" s="96">
        <f t="shared" si="8"/>
        <v>11690</v>
      </c>
      <c r="G53" s="96">
        <f t="shared" si="4"/>
        <v>225920</v>
      </c>
    </row>
    <row r="54" spans="1:7" ht="23.25">
      <c r="A54" s="96" t="s">
        <v>422</v>
      </c>
      <c r="B54" s="96">
        <f t="shared" si="5"/>
        <v>108150</v>
      </c>
      <c r="C54" s="96">
        <f>51856+2304+3500</f>
        <v>57660</v>
      </c>
      <c r="D54" s="96">
        <f t="shared" si="6"/>
        <v>36720</v>
      </c>
      <c r="E54" s="96">
        <f t="shared" si="7"/>
        <v>11700</v>
      </c>
      <c r="F54" s="96">
        <f t="shared" si="8"/>
        <v>11690</v>
      </c>
      <c r="G54" s="96">
        <f t="shared" si="4"/>
        <v>225920</v>
      </c>
    </row>
    <row r="55" spans="1:7" ht="23.25">
      <c r="A55" s="49" t="s">
        <v>423</v>
      </c>
      <c r="B55" s="96">
        <f t="shared" si="5"/>
        <v>108150</v>
      </c>
      <c r="C55" s="96">
        <f>51430+2730+3500</f>
        <v>57660</v>
      </c>
      <c r="D55" s="96">
        <f t="shared" si="6"/>
        <v>36720</v>
      </c>
      <c r="E55" s="96">
        <f t="shared" si="7"/>
        <v>11700</v>
      </c>
      <c r="F55" s="96">
        <f t="shared" si="8"/>
        <v>11690</v>
      </c>
      <c r="G55" s="96">
        <f t="shared" si="4"/>
        <v>225920</v>
      </c>
    </row>
    <row r="56" spans="2:7" ht="23.25">
      <c r="B56" s="96">
        <f aca="true" t="shared" si="9" ref="B56:G56">SUM(B44:B55)</f>
        <v>1281377</v>
      </c>
      <c r="C56" s="96">
        <f t="shared" si="9"/>
        <v>683779</v>
      </c>
      <c r="D56" s="96">
        <f t="shared" si="9"/>
        <v>435872</v>
      </c>
      <c r="E56" s="96">
        <f t="shared" si="9"/>
        <v>140400</v>
      </c>
      <c r="F56" s="96">
        <f t="shared" si="9"/>
        <v>138780</v>
      </c>
      <c r="G56" s="96">
        <f t="shared" si="9"/>
        <v>2680208</v>
      </c>
    </row>
    <row r="58" ht="23.25">
      <c r="C58" s="96">
        <f>B56+C56</f>
        <v>1965156</v>
      </c>
    </row>
    <row r="81" spans="1:7" ht="23.25">
      <c r="A81" s="49" t="s">
        <v>42</v>
      </c>
      <c r="B81" s="96" t="s">
        <v>275</v>
      </c>
      <c r="C81" s="96" t="s">
        <v>276</v>
      </c>
      <c r="D81" s="96" t="s">
        <v>278</v>
      </c>
      <c r="E81" s="96" t="s">
        <v>277</v>
      </c>
      <c r="F81" s="96" t="s">
        <v>9</v>
      </c>
      <c r="G81" s="96" t="s">
        <v>424</v>
      </c>
    </row>
    <row r="82" spans="1:6" ht="23.25">
      <c r="A82" s="96" t="s">
        <v>412</v>
      </c>
      <c r="B82" s="96">
        <v>0</v>
      </c>
      <c r="C82" s="96">
        <v>0</v>
      </c>
      <c r="D82" s="96">
        <v>0</v>
      </c>
      <c r="E82" s="96">
        <v>0</v>
      </c>
      <c r="F82" s="96">
        <f>SUM(B82:E82)</f>
        <v>0</v>
      </c>
    </row>
    <row r="83" spans="1:9" ht="23.25">
      <c r="A83" s="49" t="s">
        <v>413</v>
      </c>
      <c r="E83" s="96">
        <v>2400</v>
      </c>
      <c r="F83" s="96">
        <f>SUM(B83:E83)</f>
        <v>2400</v>
      </c>
      <c r="G83" s="96" t="s">
        <v>425</v>
      </c>
      <c r="I83" s="95">
        <f>E83+E88+E91+E94+E96+E100+E103+E104+E105+E125</f>
        <v>26720</v>
      </c>
    </row>
    <row r="84" spans="1:9" ht="23.25">
      <c r="A84" s="96" t="s">
        <v>414</v>
      </c>
      <c r="E84" s="96">
        <v>49982</v>
      </c>
      <c r="G84" s="96" t="s">
        <v>426</v>
      </c>
      <c r="I84" s="95">
        <f>E84</f>
        <v>49982</v>
      </c>
    </row>
    <row r="85" spans="1:9" ht="23.25">
      <c r="A85" s="96"/>
      <c r="E85" s="96">
        <v>101052</v>
      </c>
      <c r="G85" s="96" t="s">
        <v>427</v>
      </c>
      <c r="I85" s="95">
        <f>E85+E92+E98+E106+E115+E127</f>
        <v>677906.9099999999</v>
      </c>
    </row>
    <row r="86" spans="1:10" ht="23.25">
      <c r="A86" s="96" t="s">
        <v>240</v>
      </c>
      <c r="E86" s="96">
        <v>11340</v>
      </c>
      <c r="F86" s="96">
        <f>SUM(E84:E86)</f>
        <v>162374</v>
      </c>
      <c r="G86" s="96" t="s">
        <v>428</v>
      </c>
      <c r="I86" s="95">
        <f>E86+E93+E99+E107+E114+E126</f>
        <v>63620.5</v>
      </c>
      <c r="J86" s="95"/>
    </row>
    <row r="87" spans="1:10" ht="23.25">
      <c r="A87" s="49" t="s">
        <v>415</v>
      </c>
      <c r="E87" s="96">
        <v>1920</v>
      </c>
      <c r="G87" s="96" t="s">
        <v>429</v>
      </c>
      <c r="I87" s="95">
        <f>E87+E89+E90+E97+E102+E108+E112+E116+E117+E119</f>
        <v>65923.05</v>
      </c>
      <c r="J87" s="96">
        <f>9100+29593+19547.05+7683</f>
        <v>65923.05</v>
      </c>
    </row>
    <row r="88" spans="5:7" ht="23.25">
      <c r="E88" s="96">
        <v>2480</v>
      </c>
      <c r="F88" s="96">
        <f>SUM(E87:E88)</f>
        <v>4400</v>
      </c>
      <c r="G88" s="96" t="s">
        <v>425</v>
      </c>
    </row>
    <row r="89" spans="1:7" ht="23.25">
      <c r="A89" s="96" t="s">
        <v>416</v>
      </c>
      <c r="E89" s="96">
        <v>6236</v>
      </c>
      <c r="G89" s="96" t="s">
        <v>429</v>
      </c>
    </row>
    <row r="90" spans="5:7" ht="23.25">
      <c r="E90" s="96">
        <v>6347.05</v>
      </c>
      <c r="G90" s="96" t="s">
        <v>429</v>
      </c>
    </row>
    <row r="91" spans="1:7" ht="23.25">
      <c r="A91" s="96"/>
      <c r="E91" s="96">
        <v>2480</v>
      </c>
      <c r="G91" s="96" t="s">
        <v>425</v>
      </c>
    </row>
    <row r="92" spans="5:7" ht="23.25">
      <c r="E92" s="96">
        <v>112280</v>
      </c>
      <c r="G92" s="96" t="s">
        <v>427</v>
      </c>
    </row>
    <row r="93" spans="1:7" ht="23.25">
      <c r="A93" s="96"/>
      <c r="E93" s="96">
        <v>12600</v>
      </c>
      <c r="F93" s="96">
        <f>SUM(E89:E93)</f>
        <v>139943.05</v>
      </c>
      <c r="G93" s="96" t="s">
        <v>428</v>
      </c>
    </row>
    <row r="94" spans="1:7" ht="23.25">
      <c r="A94" s="49" t="s">
        <v>417</v>
      </c>
      <c r="E94" s="96">
        <f>2240+2480</f>
        <v>4720</v>
      </c>
      <c r="F94" s="96">
        <f>SUM(E94)</f>
        <v>4720</v>
      </c>
      <c r="G94" s="96" t="s">
        <v>425</v>
      </c>
    </row>
    <row r="95" spans="1:5" ht="23.25">
      <c r="A95" s="96" t="s">
        <v>418</v>
      </c>
      <c r="E95" s="96">
        <v>0</v>
      </c>
    </row>
    <row r="96" spans="1:9" ht="23.25">
      <c r="A96" s="49" t="s">
        <v>419</v>
      </c>
      <c r="E96" s="96">
        <v>2400</v>
      </c>
      <c r="G96" s="96" t="s">
        <v>425</v>
      </c>
      <c r="I96" s="95"/>
    </row>
    <row r="97" spans="1:7" ht="23.25">
      <c r="A97" s="96"/>
      <c r="E97" s="96">
        <v>10610</v>
      </c>
      <c r="G97" s="96" t="s">
        <v>429</v>
      </c>
    </row>
    <row r="98" spans="5:7" ht="23.25">
      <c r="E98" s="96">
        <v>190876</v>
      </c>
      <c r="G98" s="96" t="s">
        <v>427</v>
      </c>
    </row>
    <row r="99" spans="1:7" ht="23.25">
      <c r="A99" s="96"/>
      <c r="E99" s="96">
        <v>16065</v>
      </c>
      <c r="G99" s="96" t="s">
        <v>428</v>
      </c>
    </row>
    <row r="100" spans="5:7" ht="23.25">
      <c r="E100" s="96">
        <v>2480</v>
      </c>
      <c r="F100" s="96">
        <f>SUM(E96:E100)</f>
        <v>222431</v>
      </c>
      <c r="G100" s="96" t="s">
        <v>425</v>
      </c>
    </row>
    <row r="101" spans="1:5" ht="23.25">
      <c r="A101" s="96" t="s">
        <v>420</v>
      </c>
      <c r="E101" s="96">
        <v>0</v>
      </c>
    </row>
    <row r="102" spans="1:7" ht="23.25">
      <c r="A102" s="49" t="s">
        <v>421</v>
      </c>
      <c r="E102" s="96">
        <v>9200</v>
      </c>
      <c r="G102" s="96" t="s">
        <v>429</v>
      </c>
    </row>
    <row r="103" spans="1:7" ht="23.25">
      <c r="A103" s="96"/>
      <c r="E103" s="96">
        <v>2400</v>
      </c>
      <c r="F103" s="96">
        <f>SUM(E102:E103)</f>
        <v>11600</v>
      </c>
      <c r="G103" s="96" t="s">
        <v>425</v>
      </c>
    </row>
    <row r="104" spans="1:7" ht="23.25">
      <c r="A104" s="96" t="s">
        <v>422</v>
      </c>
      <c r="E104" s="96">
        <v>2480</v>
      </c>
      <c r="F104" s="96">
        <f>SUM(E104)</f>
        <v>2480</v>
      </c>
      <c r="G104" s="96" t="s">
        <v>425</v>
      </c>
    </row>
    <row r="105" spans="1:7" ht="23.25">
      <c r="A105" s="49" t="s">
        <v>423</v>
      </c>
      <c r="E105" s="96">
        <v>2480</v>
      </c>
      <c r="G105" s="96" t="s">
        <v>425</v>
      </c>
    </row>
    <row r="106" spans="5:7" ht="23.25">
      <c r="E106" s="96">
        <v>124939.51</v>
      </c>
      <c r="G106" s="96" t="s">
        <v>427</v>
      </c>
    </row>
    <row r="107" spans="5:7" ht="23.25">
      <c r="E107" s="96">
        <v>11804.1</v>
      </c>
      <c r="G107" s="96" t="s">
        <v>428</v>
      </c>
    </row>
    <row r="108" spans="5:7" ht="23.25">
      <c r="E108" s="96">
        <v>4732</v>
      </c>
      <c r="G108" s="96" t="s">
        <v>429</v>
      </c>
    </row>
    <row r="109" spans="5:10" ht="23.25">
      <c r="E109" s="96">
        <v>17850</v>
      </c>
      <c r="G109" s="96" t="s">
        <v>430</v>
      </c>
      <c r="I109" s="95">
        <f>E109+E113+E118+E120</f>
        <v>40630</v>
      </c>
      <c r="J109" s="96"/>
    </row>
    <row r="110" spans="5:9" ht="23.25">
      <c r="E110" s="96">
        <v>2600</v>
      </c>
      <c r="G110" s="96" t="s">
        <v>431</v>
      </c>
      <c r="I110" s="95">
        <f>E110+E121</f>
        <v>9990</v>
      </c>
    </row>
    <row r="111" spans="5:9" ht="23.25">
      <c r="E111" s="96">
        <v>16035</v>
      </c>
      <c r="G111" s="96" t="s">
        <v>396</v>
      </c>
      <c r="I111" s="95">
        <f>E111+E123</f>
        <v>21849</v>
      </c>
    </row>
    <row r="112" spans="5:7" ht="23.25">
      <c r="E112" s="96">
        <v>2590</v>
      </c>
      <c r="G112" s="96" t="s">
        <v>432</v>
      </c>
    </row>
    <row r="113" spans="5:7" ht="23.25">
      <c r="E113" s="96">
        <v>6200</v>
      </c>
      <c r="G113" s="96" t="s">
        <v>433</v>
      </c>
    </row>
    <row r="114" spans="5:7" ht="23.25">
      <c r="E114" s="96">
        <v>6263.4</v>
      </c>
      <c r="G114" s="96" t="s">
        <v>434</v>
      </c>
    </row>
    <row r="115" spans="5:7" ht="23.25">
      <c r="E115" s="96">
        <v>65364.2</v>
      </c>
      <c r="G115" s="96" t="s">
        <v>435</v>
      </c>
    </row>
    <row r="116" spans="5:7" ht="23.25">
      <c r="E116" s="96">
        <v>7683</v>
      </c>
      <c r="G116" s="96" t="s">
        <v>432</v>
      </c>
    </row>
    <row r="117" spans="5:7" ht="23.25">
      <c r="E117" s="96">
        <v>9425</v>
      </c>
      <c r="G117" s="96" t="s">
        <v>432</v>
      </c>
    </row>
    <row r="118" spans="5:7" ht="23.25">
      <c r="E118" s="96">
        <v>8580</v>
      </c>
      <c r="G118" s="96" t="s">
        <v>433</v>
      </c>
    </row>
    <row r="119" spans="5:7" ht="23.25">
      <c r="E119" s="96">
        <v>7180</v>
      </c>
      <c r="G119" s="96" t="s">
        <v>432</v>
      </c>
    </row>
    <row r="120" spans="5:7" ht="23.25">
      <c r="E120" s="96">
        <v>8000</v>
      </c>
      <c r="G120" s="96" t="s">
        <v>433</v>
      </c>
    </row>
    <row r="121" spans="5:7" ht="23.25">
      <c r="E121" s="96">
        <v>7390</v>
      </c>
      <c r="G121" s="96" t="s">
        <v>431</v>
      </c>
    </row>
    <row r="122" spans="5:9" ht="23.25">
      <c r="E122" s="96">
        <v>40000</v>
      </c>
      <c r="G122" s="96" t="s">
        <v>436</v>
      </c>
      <c r="I122" s="96">
        <v>40000</v>
      </c>
    </row>
    <row r="123" spans="5:7" ht="23.25">
      <c r="E123" s="96">
        <v>5814</v>
      </c>
      <c r="G123" s="96" t="s">
        <v>396</v>
      </c>
    </row>
    <row r="124" spans="5:9" ht="23.25">
      <c r="E124" s="96">
        <v>67600</v>
      </c>
      <c r="G124" s="96" t="s">
        <v>437</v>
      </c>
      <c r="I124" s="95">
        <f>E124</f>
        <v>67600</v>
      </c>
    </row>
    <row r="125" spans="5:7" ht="23.25">
      <c r="E125" s="96">
        <v>2400</v>
      </c>
      <c r="G125" s="96" t="s">
        <v>438</v>
      </c>
    </row>
    <row r="126" spans="5:9" ht="23.25">
      <c r="E126" s="96">
        <v>5548</v>
      </c>
      <c r="G126" s="96" t="s">
        <v>439</v>
      </c>
      <c r="I126" s="95">
        <f>SUM(I83:I125)</f>
        <v>1064221.46</v>
      </c>
    </row>
    <row r="127" spans="5:10" ht="23.25">
      <c r="E127" s="96">
        <v>83395.2</v>
      </c>
      <c r="F127" s="96">
        <f>SUM(E105:E127)</f>
        <v>513873.41</v>
      </c>
      <c r="G127" s="96" t="s">
        <v>440</v>
      </c>
      <c r="I127" s="95">
        <f>I126-I111</f>
        <v>1042372.46</v>
      </c>
      <c r="J127" s="95">
        <f>F128-I126</f>
        <v>0</v>
      </c>
    </row>
    <row r="128" ht="23.25">
      <c r="F128" s="96">
        <f>SUM(F83:F127)</f>
        <v>1064221.46</v>
      </c>
    </row>
    <row r="129" ht="23.25">
      <c r="H129" s="95"/>
    </row>
  </sheetData>
  <mergeCells count="18">
    <mergeCell ref="A29:C29"/>
    <mergeCell ref="G29:I29"/>
    <mergeCell ref="L29:O29"/>
    <mergeCell ref="L30:O30"/>
    <mergeCell ref="A25:C25"/>
    <mergeCell ref="G25:I25"/>
    <mergeCell ref="L25:O25"/>
    <mergeCell ref="A28:C28"/>
    <mergeCell ref="G28:I28"/>
    <mergeCell ref="L28:O28"/>
    <mergeCell ref="A3:O3"/>
    <mergeCell ref="A4:O4"/>
    <mergeCell ref="A5:O5"/>
    <mergeCell ref="A6:A7"/>
    <mergeCell ref="B6:B7"/>
    <mergeCell ref="C6:C7"/>
    <mergeCell ref="F6:F7"/>
    <mergeCell ref="G6:G7"/>
  </mergeCells>
  <printOptions/>
  <pageMargins left="0" right="0" top="0.984251968503937" bottom="0.984251968503937" header="0.5118110236220472" footer="0.5118110236220472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SheetLayoutView="100" workbookViewId="0" topLeftCell="A28">
      <selection activeCell="B45" sqref="B45"/>
    </sheetView>
  </sheetViews>
  <sheetFormatPr defaultColWidth="9.140625" defaultRowHeight="21.75" customHeight="1"/>
  <cols>
    <col min="1" max="1" width="6.57421875" style="49" customWidth="1"/>
    <col min="2" max="2" width="42.00390625" style="49" customWidth="1"/>
    <col min="3" max="3" width="14.140625" style="96" customWidth="1"/>
    <col min="4" max="4" width="14.00390625" style="96" customWidth="1"/>
    <col min="5" max="5" width="4.8515625" style="49" customWidth="1"/>
    <col min="6" max="6" width="17.57421875" style="96" customWidth="1"/>
    <col min="7" max="7" width="14.421875" style="49" customWidth="1"/>
    <col min="8" max="8" width="13.28125" style="49" customWidth="1"/>
    <col min="9" max="9" width="3.7109375" style="49" customWidth="1"/>
    <col min="10" max="10" width="10.28125" style="49" customWidth="1"/>
    <col min="11" max="16384" width="9.140625" style="49" customWidth="1"/>
  </cols>
  <sheetData>
    <row r="1" spans="1:6" ht="21.75" customHeight="1">
      <c r="A1" s="321" t="s">
        <v>527</v>
      </c>
      <c r="B1" s="321"/>
      <c r="C1" s="321"/>
      <c r="D1" s="321"/>
      <c r="E1" s="321"/>
      <c r="F1" s="321"/>
    </row>
    <row r="2" spans="1:6" ht="21.75" customHeight="1">
      <c r="A2" s="321" t="s">
        <v>526</v>
      </c>
      <c r="B2" s="321"/>
      <c r="C2" s="321"/>
      <c r="D2" s="321"/>
      <c r="E2" s="321"/>
      <c r="F2" s="321"/>
    </row>
    <row r="3" spans="1:6" ht="21.75" customHeight="1">
      <c r="A3" s="330" t="s">
        <v>465</v>
      </c>
      <c r="B3" s="330"/>
      <c r="C3" s="330"/>
      <c r="D3" s="330"/>
      <c r="E3" s="330"/>
      <c r="F3" s="330"/>
    </row>
    <row r="4" spans="1:6" s="159" customFormat="1" ht="21.75" customHeight="1">
      <c r="A4" s="331" t="s">
        <v>26</v>
      </c>
      <c r="B4" s="332"/>
      <c r="C4" s="335" t="s">
        <v>53</v>
      </c>
      <c r="D4" s="335" t="s">
        <v>54</v>
      </c>
      <c r="E4" s="195" t="s">
        <v>466</v>
      </c>
      <c r="F4" s="157" t="s">
        <v>467</v>
      </c>
    </row>
    <row r="5" spans="1:6" s="159" customFormat="1" ht="21.75" customHeight="1">
      <c r="A5" s="333"/>
      <c r="B5" s="334"/>
      <c r="C5" s="336"/>
      <c r="D5" s="336"/>
      <c r="E5" s="196" t="s">
        <v>169</v>
      </c>
      <c r="F5" s="160" t="s">
        <v>468</v>
      </c>
    </row>
    <row r="6" spans="1:6" ht="21.75" customHeight="1">
      <c r="A6" s="111" t="s">
        <v>469</v>
      </c>
      <c r="B6" s="92"/>
      <c r="C6" s="94"/>
      <c r="D6" s="94"/>
      <c r="E6" s="105"/>
      <c r="F6" s="94"/>
    </row>
    <row r="7" spans="1:6" ht="21.75" customHeight="1">
      <c r="A7" s="112" t="s">
        <v>470</v>
      </c>
      <c r="B7" s="81"/>
      <c r="C7" s="83"/>
      <c r="D7" s="83"/>
      <c r="E7" s="197"/>
      <c r="F7" s="83"/>
    </row>
    <row r="8" spans="1:6" ht="21.75" customHeight="1">
      <c r="A8" s="198"/>
      <c r="B8" s="81" t="s">
        <v>602</v>
      </c>
      <c r="C8" s="83">
        <v>248120</v>
      </c>
      <c r="D8" s="83">
        <v>283798.2</v>
      </c>
      <c r="E8" s="106" t="s">
        <v>466</v>
      </c>
      <c r="F8" s="200">
        <f>D8-C8</f>
        <v>35678.20000000001</v>
      </c>
    </row>
    <row r="9" spans="1:7" ht="21.75" customHeight="1">
      <c r="A9" s="80"/>
      <c r="B9" s="81" t="s">
        <v>603</v>
      </c>
      <c r="C9" s="259">
        <v>35193</v>
      </c>
      <c r="D9" s="259">
        <v>24639</v>
      </c>
      <c r="E9" s="106" t="s">
        <v>169</v>
      </c>
      <c r="F9" s="259">
        <f>C9-D9</f>
        <v>10554</v>
      </c>
      <c r="G9" s="80"/>
    </row>
    <row r="10" spans="1:6" ht="21.75" customHeight="1">
      <c r="A10" s="198"/>
      <c r="B10" s="81" t="s">
        <v>604</v>
      </c>
      <c r="C10" s="83">
        <v>80000</v>
      </c>
      <c r="D10" s="83">
        <v>83321.37</v>
      </c>
      <c r="E10" s="106" t="s">
        <v>466</v>
      </c>
      <c r="F10" s="260">
        <f>D10-C10</f>
        <v>3321.3699999999953</v>
      </c>
    </row>
    <row r="11" spans="1:6" ht="21.75" customHeight="1">
      <c r="A11" s="198"/>
      <c r="B11" s="81" t="s">
        <v>605</v>
      </c>
      <c r="C11" s="83">
        <v>0</v>
      </c>
      <c r="D11" s="83">
        <v>0</v>
      </c>
      <c r="E11" s="199"/>
      <c r="F11" s="260"/>
    </row>
    <row r="12" spans="1:6" ht="21.75" customHeight="1">
      <c r="A12" s="198"/>
      <c r="B12" s="81" t="s">
        <v>606</v>
      </c>
      <c r="C12" s="83">
        <v>53200</v>
      </c>
      <c r="D12" s="83">
        <v>461280</v>
      </c>
      <c r="E12" s="106" t="s">
        <v>466</v>
      </c>
      <c r="F12" s="260">
        <f>D12-C12</f>
        <v>408080</v>
      </c>
    </row>
    <row r="13" spans="1:6" ht="21.75" customHeight="1">
      <c r="A13" s="198"/>
      <c r="B13" s="81" t="s">
        <v>607</v>
      </c>
      <c r="C13" s="83">
        <v>0</v>
      </c>
      <c r="D13" s="83">
        <v>0</v>
      </c>
      <c r="E13" s="199"/>
      <c r="F13" s="260">
        <f>C13-D13</f>
        <v>0</v>
      </c>
    </row>
    <row r="14" spans="1:6" ht="21.75" customHeight="1">
      <c r="A14" s="198"/>
      <c r="B14" s="81" t="s">
        <v>608</v>
      </c>
      <c r="C14" s="83">
        <v>6844720</v>
      </c>
      <c r="D14" s="83">
        <v>8449867.75</v>
      </c>
      <c r="E14" s="106" t="s">
        <v>466</v>
      </c>
      <c r="F14" s="260">
        <f>D14-C14</f>
        <v>1605147.75</v>
      </c>
    </row>
    <row r="15" spans="1:6" ht="21.75" customHeight="1">
      <c r="A15" s="198"/>
      <c r="B15" s="81" t="s">
        <v>220</v>
      </c>
      <c r="C15" s="83">
        <v>8287482</v>
      </c>
      <c r="D15" s="83">
        <v>5404004</v>
      </c>
      <c r="E15" s="106" t="s">
        <v>169</v>
      </c>
      <c r="F15" s="260">
        <f>C15-D15</f>
        <v>2883478</v>
      </c>
    </row>
    <row r="16" spans="1:6" ht="21.75" customHeight="1">
      <c r="A16" s="198"/>
      <c r="B16" s="81" t="s">
        <v>507</v>
      </c>
      <c r="C16" s="90">
        <f>SUM(C8:C15)</f>
        <v>15548715</v>
      </c>
      <c r="D16" s="90">
        <f>SUM(D8:D15)</f>
        <v>14706910.32</v>
      </c>
      <c r="E16" s="107" t="s">
        <v>466</v>
      </c>
      <c r="F16" s="261">
        <f>C16-D16</f>
        <v>841804.6799999997</v>
      </c>
    </row>
    <row r="17" spans="1:6" ht="21.75" customHeight="1">
      <c r="A17" s="198"/>
      <c r="B17" s="81" t="s">
        <v>609</v>
      </c>
      <c r="C17" s="108"/>
      <c r="D17" s="90"/>
      <c r="E17" s="262"/>
      <c r="F17" s="263"/>
    </row>
    <row r="18" spans="1:6" ht="21.75" customHeight="1">
      <c r="A18" s="198"/>
      <c r="B18" s="81" t="s">
        <v>610</v>
      </c>
      <c r="C18" s="108"/>
      <c r="D18" s="90">
        <v>2607000</v>
      </c>
      <c r="E18" s="262"/>
      <c r="F18" s="263"/>
    </row>
    <row r="19" spans="1:6" ht="21.75" customHeight="1">
      <c r="A19" s="198"/>
      <c r="B19" s="81" t="s">
        <v>611</v>
      </c>
      <c r="C19" s="108"/>
      <c r="D19" s="90">
        <v>1144000</v>
      </c>
      <c r="E19" s="262"/>
      <c r="F19" s="263"/>
    </row>
    <row r="20" spans="1:6" ht="21.75" customHeight="1">
      <c r="A20" s="198"/>
      <c r="B20" s="81" t="s">
        <v>623</v>
      </c>
      <c r="C20" s="108"/>
      <c r="D20" s="90">
        <v>201852</v>
      </c>
      <c r="E20" s="262"/>
      <c r="F20" s="263"/>
    </row>
    <row r="21" spans="1:6" ht="21.75" customHeight="1">
      <c r="A21" s="198"/>
      <c r="B21" s="81" t="s">
        <v>624</v>
      </c>
      <c r="C21" s="108"/>
      <c r="D21" s="90">
        <v>11395</v>
      </c>
      <c r="E21" s="262"/>
      <c r="F21" s="263"/>
    </row>
    <row r="22" spans="1:6" ht="21.75" customHeight="1">
      <c r="A22" s="198"/>
      <c r="B22" s="81" t="s">
        <v>612</v>
      </c>
      <c r="C22" s="108"/>
      <c r="D22" s="90">
        <f>SUM(D18:D21)</f>
        <v>3964247</v>
      </c>
      <c r="E22" s="262"/>
      <c r="F22" s="263"/>
    </row>
    <row r="23" spans="1:6" ht="21.75" customHeight="1">
      <c r="A23" s="264"/>
      <c r="B23" s="156" t="s">
        <v>613</v>
      </c>
      <c r="C23" s="265"/>
      <c r="D23" s="90">
        <f>D16+D22</f>
        <v>18671157.32</v>
      </c>
      <c r="E23" s="262"/>
      <c r="F23" s="263"/>
    </row>
    <row r="24" spans="2:7" ht="21.75" customHeight="1">
      <c r="B24" s="154"/>
      <c r="C24" s="337"/>
      <c r="D24" s="337"/>
      <c r="E24" s="337"/>
      <c r="F24" s="337"/>
      <c r="G24" s="337"/>
    </row>
    <row r="25" spans="1:6" ht="24.75" customHeight="1">
      <c r="A25" s="338" t="s">
        <v>614</v>
      </c>
      <c r="B25" s="338"/>
      <c r="C25" s="338"/>
      <c r="D25" s="338"/>
      <c r="E25" s="338"/>
      <c r="F25" s="338"/>
    </row>
    <row r="26" spans="2:7" ht="21.75" customHeight="1">
      <c r="B26" s="154"/>
      <c r="C26" s="337"/>
      <c r="D26" s="337"/>
      <c r="E26" s="337"/>
      <c r="F26" s="337"/>
      <c r="G26" s="337"/>
    </row>
    <row r="27" spans="2:7" ht="21.75" customHeight="1">
      <c r="B27" s="154"/>
      <c r="C27" s="337"/>
      <c r="D27" s="337"/>
      <c r="E27" s="339"/>
      <c r="F27" s="339"/>
      <c r="G27" s="339"/>
    </row>
    <row r="28" spans="1:6" s="81" customFormat="1" ht="21.75" customHeight="1">
      <c r="A28" s="81" t="s">
        <v>615</v>
      </c>
      <c r="B28" s="176"/>
      <c r="C28" s="108"/>
      <c r="D28" s="108"/>
      <c r="E28" s="216"/>
      <c r="F28" s="263"/>
    </row>
    <row r="29" spans="1:6" s="81" customFormat="1" ht="21.75" customHeight="1">
      <c r="A29" s="81" t="s">
        <v>616</v>
      </c>
      <c r="B29" s="176"/>
      <c r="C29" s="108"/>
      <c r="D29" s="108"/>
      <c r="E29" s="216"/>
      <c r="F29" s="263"/>
    </row>
    <row r="30" spans="1:6" s="81" customFormat="1" ht="21.75" customHeight="1">
      <c r="A30" s="266"/>
      <c r="B30" s="176"/>
      <c r="C30" s="108"/>
      <c r="D30" s="108"/>
      <c r="E30" s="216"/>
      <c r="F30" s="263"/>
    </row>
    <row r="31" spans="1:6" s="81" customFormat="1" ht="21.75" customHeight="1">
      <c r="A31" s="266"/>
      <c r="B31" s="176"/>
      <c r="C31" s="108"/>
      <c r="D31" s="108"/>
      <c r="E31" s="216"/>
      <c r="F31" s="263"/>
    </row>
    <row r="32" spans="1:6" s="81" customFormat="1" ht="21.75" customHeight="1">
      <c r="A32" s="266"/>
      <c r="B32" s="176"/>
      <c r="C32" s="108"/>
      <c r="D32" s="108"/>
      <c r="E32" s="216"/>
      <c r="F32" s="263"/>
    </row>
    <row r="33" spans="1:6" s="81" customFormat="1" ht="21.75" customHeight="1">
      <c r="A33" s="266"/>
      <c r="B33" s="176"/>
      <c r="C33" s="108"/>
      <c r="D33" s="108"/>
      <c r="E33" s="216"/>
      <c r="F33" s="263"/>
    </row>
    <row r="34" spans="1:6" s="81" customFormat="1" ht="21.75" customHeight="1">
      <c r="A34" s="266"/>
      <c r="B34" s="176"/>
      <c r="C34" s="108"/>
      <c r="D34" s="108"/>
      <c r="E34" s="216"/>
      <c r="F34" s="263"/>
    </row>
    <row r="35" spans="1:6" s="81" customFormat="1" ht="21.75" customHeight="1">
      <c r="A35" s="266"/>
      <c r="B35" s="176"/>
      <c r="C35" s="108"/>
      <c r="D35" s="108"/>
      <c r="E35" s="216"/>
      <c r="F35" s="263"/>
    </row>
    <row r="36" spans="1:6" s="81" customFormat="1" ht="21.75" customHeight="1">
      <c r="A36" s="266"/>
      <c r="B36" s="176"/>
      <c r="C36" s="108"/>
      <c r="D36" s="108"/>
      <c r="E36" s="216"/>
      <c r="F36" s="263"/>
    </row>
    <row r="37" spans="1:6" ht="21.75" customHeight="1">
      <c r="A37" s="331" t="s">
        <v>26</v>
      </c>
      <c r="B37" s="332"/>
      <c r="C37" s="313" t="s">
        <v>53</v>
      </c>
      <c r="D37" s="313" t="s">
        <v>510</v>
      </c>
      <c r="E37" s="218" t="s">
        <v>466</v>
      </c>
      <c r="F37" s="219" t="s">
        <v>467</v>
      </c>
    </row>
    <row r="38" spans="1:6" ht="21.75" customHeight="1">
      <c r="A38" s="333"/>
      <c r="B38" s="334"/>
      <c r="C38" s="314"/>
      <c r="D38" s="314"/>
      <c r="E38" s="109" t="s">
        <v>169</v>
      </c>
      <c r="F38" s="220" t="s">
        <v>468</v>
      </c>
    </row>
    <row r="39" spans="1:6" ht="21.75" customHeight="1">
      <c r="A39" s="111" t="s">
        <v>511</v>
      </c>
      <c r="B39" s="92"/>
      <c r="C39" s="94"/>
      <c r="D39" s="94"/>
      <c r="E39" s="105"/>
      <c r="F39" s="94"/>
    </row>
    <row r="40" spans="1:6" ht="21.75" customHeight="1">
      <c r="A40" s="221"/>
      <c r="B40" s="81" t="s">
        <v>224</v>
      </c>
      <c r="C40" s="83">
        <v>1213505</v>
      </c>
      <c r="D40" s="83">
        <v>421144.33</v>
      </c>
      <c r="E40" s="267" t="s">
        <v>169</v>
      </c>
      <c r="F40" s="83">
        <f>C40-D40</f>
        <v>792360.6699999999</v>
      </c>
    </row>
    <row r="41" spans="1:6" ht="21.75" customHeight="1">
      <c r="A41" s="198"/>
      <c r="B41" s="81" t="s">
        <v>37</v>
      </c>
      <c r="C41" s="83">
        <v>3416120</v>
      </c>
      <c r="D41" s="83">
        <v>3006655</v>
      </c>
      <c r="E41" s="106" t="s">
        <v>169</v>
      </c>
      <c r="F41" s="83">
        <f>C41-D41</f>
        <v>409465</v>
      </c>
    </row>
    <row r="42" spans="1:6" ht="21.75" customHeight="1">
      <c r="A42" s="198"/>
      <c r="B42" s="81" t="s">
        <v>38</v>
      </c>
      <c r="C42" s="83">
        <v>106380</v>
      </c>
      <c r="D42" s="83">
        <v>106380</v>
      </c>
      <c r="E42" s="106" t="s">
        <v>169</v>
      </c>
      <c r="F42" s="83">
        <f>C42-D42</f>
        <v>0</v>
      </c>
    </row>
    <row r="43" spans="1:6" ht="21.75" customHeight="1">
      <c r="A43" s="198"/>
      <c r="B43" s="81" t="s">
        <v>39</v>
      </c>
      <c r="C43" s="83">
        <v>574900</v>
      </c>
      <c r="D43" s="83">
        <v>372340</v>
      </c>
      <c r="E43" s="106" t="s">
        <v>169</v>
      </c>
      <c r="F43" s="83">
        <f>C43-D43</f>
        <v>202560</v>
      </c>
    </row>
    <row r="44" spans="1:8" ht="21.75" customHeight="1">
      <c r="A44" s="198"/>
      <c r="B44" s="81" t="s">
        <v>40</v>
      </c>
      <c r="C44" s="83">
        <v>749860</v>
      </c>
      <c r="D44" s="83">
        <v>650808.5</v>
      </c>
      <c r="E44" s="106" t="s">
        <v>169</v>
      </c>
      <c r="F44" s="83">
        <f>C44-D44</f>
        <v>99051.5</v>
      </c>
      <c r="H44" s="95"/>
    </row>
    <row r="45" spans="1:8" ht="21.75" customHeight="1">
      <c r="A45" s="198"/>
      <c r="B45" s="268" t="s">
        <v>41</v>
      </c>
      <c r="C45" s="83">
        <v>1892150</v>
      </c>
      <c r="D45" s="83">
        <v>1451975</v>
      </c>
      <c r="E45" s="200" t="s">
        <v>169</v>
      </c>
      <c r="F45" s="83">
        <f aca="true" t="shared" si="0" ref="F45:F51">C45-D45</f>
        <v>440175</v>
      </c>
      <c r="H45" s="95"/>
    </row>
    <row r="46" spans="1:6" ht="21.75" customHeight="1">
      <c r="A46" s="198"/>
      <c r="B46" s="81" t="s">
        <v>42</v>
      </c>
      <c r="C46" s="83">
        <v>1214878</v>
      </c>
      <c r="D46" s="83">
        <v>1083781.8</v>
      </c>
      <c r="E46" s="106" t="s">
        <v>169</v>
      </c>
      <c r="F46" s="83">
        <f t="shared" si="0"/>
        <v>131096.19999999995</v>
      </c>
    </row>
    <row r="47" spans="1:6" ht="21.75" customHeight="1">
      <c r="A47" s="80"/>
      <c r="B47" s="81" t="s">
        <v>43</v>
      </c>
      <c r="C47" s="83">
        <v>132483</v>
      </c>
      <c r="D47" s="83">
        <v>114913.94</v>
      </c>
      <c r="E47" s="106" t="s">
        <v>169</v>
      </c>
      <c r="F47" s="83">
        <f t="shared" si="0"/>
        <v>17569.059999999998</v>
      </c>
    </row>
    <row r="48" spans="1:6" ht="21.75" customHeight="1">
      <c r="A48" s="80"/>
      <c r="B48" s="81" t="s">
        <v>220</v>
      </c>
      <c r="C48" s="83">
        <v>1780759</v>
      </c>
      <c r="D48" s="83">
        <v>1568246.32</v>
      </c>
      <c r="E48" s="106" t="s">
        <v>169</v>
      </c>
      <c r="F48" s="83">
        <f t="shared" si="0"/>
        <v>212512.67999999993</v>
      </c>
    </row>
    <row r="49" spans="1:6" ht="21.75" customHeight="1">
      <c r="A49" s="80"/>
      <c r="B49" s="81" t="s">
        <v>45</v>
      </c>
      <c r="C49" s="83">
        <v>858280</v>
      </c>
      <c r="D49" s="83">
        <v>802930</v>
      </c>
      <c r="E49" s="106" t="s">
        <v>169</v>
      </c>
      <c r="F49" s="83">
        <f t="shared" si="0"/>
        <v>55350</v>
      </c>
    </row>
    <row r="50" spans="1:6" ht="21.75" customHeight="1">
      <c r="A50" s="80"/>
      <c r="B50" s="81" t="s">
        <v>46</v>
      </c>
      <c r="C50" s="83">
        <v>3589400</v>
      </c>
      <c r="D50" s="83">
        <v>734000</v>
      </c>
      <c r="E50" s="106" t="s">
        <v>169</v>
      </c>
      <c r="F50" s="83">
        <f t="shared" si="0"/>
        <v>2855400</v>
      </c>
    </row>
    <row r="51" spans="1:6" ht="21.75" customHeight="1">
      <c r="A51" s="80"/>
      <c r="B51" s="268" t="s">
        <v>225</v>
      </c>
      <c r="C51" s="83">
        <v>20000</v>
      </c>
      <c r="D51" s="83">
        <v>20000</v>
      </c>
      <c r="E51" s="200" t="s">
        <v>169</v>
      </c>
      <c r="F51" s="83">
        <f t="shared" si="0"/>
        <v>0</v>
      </c>
    </row>
    <row r="52" spans="1:6" ht="21.75" customHeight="1">
      <c r="A52" s="112"/>
      <c r="B52" s="81" t="s">
        <v>617</v>
      </c>
      <c r="C52" s="90">
        <f>SUM(C40:C51)</f>
        <v>15548715</v>
      </c>
      <c r="D52" s="90">
        <f>SUM(D40:D51)</f>
        <v>10333174.89</v>
      </c>
      <c r="E52" s="269" t="s">
        <v>169</v>
      </c>
      <c r="F52" s="90">
        <f>C52-D52</f>
        <v>5215540.109999999</v>
      </c>
    </row>
    <row r="53" spans="1:6" ht="21.75" customHeight="1">
      <c r="A53" s="112"/>
      <c r="B53" s="81" t="s">
        <v>618</v>
      </c>
      <c r="C53" s="108"/>
      <c r="D53" s="270"/>
      <c r="E53" s="137"/>
      <c r="F53" s="108"/>
    </row>
    <row r="54" spans="1:6" ht="21.75" customHeight="1">
      <c r="A54" s="112"/>
      <c r="B54" s="81" t="s">
        <v>610</v>
      </c>
      <c r="C54" s="108"/>
      <c r="D54" s="270">
        <v>2607000</v>
      </c>
      <c r="E54" s="137"/>
      <c r="F54" s="108"/>
    </row>
    <row r="55" spans="1:6" ht="21.75" customHeight="1">
      <c r="A55" s="112"/>
      <c r="B55" s="81" t="s">
        <v>611</v>
      </c>
      <c r="C55" s="108"/>
      <c r="D55" s="270">
        <v>1144000</v>
      </c>
      <c r="E55" s="137"/>
      <c r="F55" s="108"/>
    </row>
    <row r="56" spans="1:6" ht="21.75" customHeight="1">
      <c r="A56" s="112"/>
      <c r="B56" s="81" t="s">
        <v>623</v>
      </c>
      <c r="C56" s="108"/>
      <c r="D56" s="270">
        <v>201852</v>
      </c>
      <c r="E56" s="137"/>
      <c r="F56" s="108"/>
    </row>
    <row r="57" spans="1:6" ht="21.75" customHeight="1">
      <c r="A57" s="112"/>
      <c r="B57" s="81" t="s">
        <v>624</v>
      </c>
      <c r="C57" s="108"/>
      <c r="D57" s="270">
        <v>11395</v>
      </c>
      <c r="E57" s="137"/>
      <c r="F57" s="108"/>
    </row>
    <row r="58" spans="1:6" ht="21.75" customHeight="1">
      <c r="A58" s="112"/>
      <c r="B58" s="81" t="s">
        <v>619</v>
      </c>
      <c r="C58" s="108"/>
      <c r="D58" s="270">
        <f>SUM(D54:D57)</f>
        <v>3964247</v>
      </c>
      <c r="E58" s="137"/>
      <c r="F58" s="108"/>
    </row>
    <row r="59" spans="1:6" ht="21.75" customHeight="1">
      <c r="A59" s="112"/>
      <c r="B59" s="81" t="s">
        <v>525</v>
      </c>
      <c r="C59" s="108"/>
      <c r="D59" s="94">
        <f>D52+D58</f>
        <v>14297421.89</v>
      </c>
      <c r="E59" s="137"/>
      <c r="F59" s="108"/>
    </row>
    <row r="60" spans="1:6" ht="21.75" customHeight="1">
      <c r="A60" s="80"/>
      <c r="B60" s="176" t="s">
        <v>620</v>
      </c>
      <c r="C60" s="108"/>
      <c r="D60" s="94">
        <f>D23-D59</f>
        <v>4373735.43</v>
      </c>
      <c r="E60" s="94"/>
      <c r="F60" s="108"/>
    </row>
    <row r="61" spans="1:6" ht="21.75" customHeight="1">
      <c r="A61" s="80"/>
      <c r="B61" s="178" t="s">
        <v>621</v>
      </c>
      <c r="C61" s="271"/>
      <c r="D61" s="259"/>
      <c r="E61" s="83"/>
      <c r="F61" s="108"/>
    </row>
    <row r="62" spans="1:6" ht="21.75" customHeight="1">
      <c r="A62" s="84"/>
      <c r="B62" s="156" t="s">
        <v>622</v>
      </c>
      <c r="C62" s="265"/>
      <c r="D62" s="110"/>
      <c r="E62" s="116"/>
      <c r="F62" s="108"/>
    </row>
    <row r="63" spans="2:7" ht="21.75" customHeight="1">
      <c r="B63" s="154"/>
      <c r="C63" s="337"/>
      <c r="D63" s="337"/>
      <c r="E63" s="337"/>
      <c r="F63" s="337"/>
      <c r="G63" s="337"/>
    </row>
    <row r="64" spans="1:6" ht="24.75" customHeight="1">
      <c r="A64" s="338" t="s">
        <v>614</v>
      </c>
      <c r="B64" s="338"/>
      <c r="C64" s="338"/>
      <c r="D64" s="338"/>
      <c r="E64" s="338"/>
      <c r="F64" s="338"/>
    </row>
    <row r="65" spans="2:7" ht="21.75" customHeight="1">
      <c r="B65" s="154"/>
      <c r="C65" s="337"/>
      <c r="D65" s="337"/>
      <c r="E65" s="337"/>
      <c r="F65" s="337"/>
      <c r="G65" s="337"/>
    </row>
    <row r="66" spans="2:7" ht="21.75" customHeight="1">
      <c r="B66" s="154"/>
      <c r="C66" s="337"/>
      <c r="D66" s="337"/>
      <c r="E66" s="339"/>
      <c r="F66" s="339"/>
      <c r="G66" s="339"/>
    </row>
    <row r="67" spans="1:6" s="81" customFormat="1" ht="21.75" customHeight="1">
      <c r="A67" s="81" t="s">
        <v>615</v>
      </c>
      <c r="B67" s="176"/>
      <c r="C67" s="108"/>
      <c r="D67" s="108"/>
      <c r="E67" s="216"/>
      <c r="F67" s="263"/>
    </row>
    <row r="68" spans="1:6" s="81" customFormat="1" ht="21.75" customHeight="1">
      <c r="A68" s="81" t="s">
        <v>616</v>
      </c>
      <c r="B68" s="176"/>
      <c r="C68" s="108"/>
      <c r="D68" s="108"/>
      <c r="E68" s="216"/>
      <c r="F68" s="263"/>
    </row>
  </sheetData>
  <mergeCells count="23">
    <mergeCell ref="C66:D66"/>
    <mergeCell ref="E66:G66"/>
    <mergeCell ref="C63:D63"/>
    <mergeCell ref="E63:G63"/>
    <mergeCell ref="A64:F64"/>
    <mergeCell ref="C65:D65"/>
    <mergeCell ref="E65:G65"/>
    <mergeCell ref="C27:D27"/>
    <mergeCell ref="E27:G27"/>
    <mergeCell ref="A37:B38"/>
    <mergeCell ref="C37:C38"/>
    <mergeCell ref="D37:D38"/>
    <mergeCell ref="C24:D24"/>
    <mergeCell ref="E24:G24"/>
    <mergeCell ref="A25:F25"/>
    <mergeCell ref="C26:D26"/>
    <mergeCell ref="E26:G26"/>
    <mergeCell ref="A1:F1"/>
    <mergeCell ref="A2:F2"/>
    <mergeCell ref="A3:F3"/>
    <mergeCell ref="A4:B5"/>
    <mergeCell ref="C4:C5"/>
    <mergeCell ref="D4:D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workbookViewId="0" topLeftCell="A10">
      <selection activeCell="D25" sqref="D25"/>
    </sheetView>
  </sheetViews>
  <sheetFormatPr defaultColWidth="9.140625" defaultRowHeight="12.75"/>
  <cols>
    <col min="1" max="1" width="22.00390625" style="49" customWidth="1"/>
    <col min="2" max="2" width="15.421875" style="96" customWidth="1"/>
    <col min="3" max="3" width="14.7109375" style="96" customWidth="1"/>
    <col min="4" max="4" width="14.57421875" style="96" customWidth="1"/>
    <col min="5" max="5" width="12.7109375" style="96" customWidth="1"/>
    <col min="6" max="6" width="13.00390625" style="96" customWidth="1"/>
    <col min="7" max="7" width="11.57421875" style="96" customWidth="1"/>
    <col min="8" max="8" width="12.140625" style="49" customWidth="1"/>
    <col min="9" max="9" width="12.421875" style="49" customWidth="1"/>
    <col min="10" max="10" width="15.421875" style="49" customWidth="1"/>
    <col min="11" max="11" width="17.7109375" style="49" customWidth="1"/>
    <col min="12" max="12" width="12.28125" style="49" customWidth="1"/>
    <col min="13" max="13" width="11.57421875" style="49" customWidth="1"/>
    <col min="14" max="14" width="11.00390625" style="49" customWidth="1"/>
    <col min="15" max="15" width="11.28125" style="49" customWidth="1"/>
    <col min="16" max="16384" width="9.140625" style="49" customWidth="1"/>
  </cols>
  <sheetData>
    <row r="1" spans="1:15" ht="23.25">
      <c r="A1" s="321" t="s">
        <v>245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23.25">
      <c r="A2" s="321" t="s">
        <v>441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5" ht="23.25">
      <c r="A3" s="322" t="s">
        <v>452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15" s="159" customFormat="1" ht="23.25">
      <c r="A4" s="323" t="s">
        <v>26</v>
      </c>
      <c r="B4" s="364" t="s">
        <v>53</v>
      </c>
      <c r="C4" s="364" t="s">
        <v>9</v>
      </c>
      <c r="D4" s="157" t="s">
        <v>394</v>
      </c>
      <c r="E4" s="192" t="s">
        <v>395</v>
      </c>
      <c r="F4" s="364" t="s">
        <v>396</v>
      </c>
      <c r="G4" s="364" t="s">
        <v>375</v>
      </c>
      <c r="H4" s="170" t="s">
        <v>397</v>
      </c>
      <c r="I4" s="155" t="s">
        <v>398</v>
      </c>
      <c r="J4" s="187" t="s">
        <v>399</v>
      </c>
      <c r="K4" s="189" t="s">
        <v>400</v>
      </c>
      <c r="L4" s="187" t="s">
        <v>401</v>
      </c>
      <c r="M4" s="155" t="s">
        <v>402</v>
      </c>
      <c r="N4" s="170" t="s">
        <v>403</v>
      </c>
      <c r="O4" s="171" t="s">
        <v>224</v>
      </c>
    </row>
    <row r="5" spans="1:15" s="159" customFormat="1" ht="23.25">
      <c r="A5" s="367"/>
      <c r="B5" s="368"/>
      <c r="C5" s="368"/>
      <c r="D5" s="160" t="s">
        <v>404</v>
      </c>
      <c r="E5" s="193" t="s">
        <v>405</v>
      </c>
      <c r="F5" s="368"/>
      <c r="G5" s="368"/>
      <c r="H5" s="172" t="s">
        <v>406</v>
      </c>
      <c r="I5" s="156" t="s">
        <v>407</v>
      </c>
      <c r="J5" s="188" t="s">
        <v>408</v>
      </c>
      <c r="K5" s="190" t="s">
        <v>409</v>
      </c>
      <c r="L5" s="188" t="s">
        <v>392</v>
      </c>
      <c r="M5" s="156"/>
      <c r="N5" s="172"/>
      <c r="O5" s="180"/>
    </row>
    <row r="6" spans="1:15" ht="23.25">
      <c r="A6" s="162" t="s">
        <v>223</v>
      </c>
      <c r="B6" s="163"/>
      <c r="C6" s="163"/>
      <c r="D6" s="163"/>
      <c r="E6" s="163"/>
      <c r="F6" s="163"/>
      <c r="G6" s="163"/>
      <c r="H6" s="174"/>
      <c r="I6" s="174"/>
      <c r="J6" s="174"/>
      <c r="K6" s="174"/>
      <c r="L6" s="174"/>
      <c r="M6" s="174"/>
      <c r="N6" s="174"/>
      <c r="O6" s="174"/>
    </row>
    <row r="7" spans="1:15" ht="23.25">
      <c r="A7" s="164" t="s">
        <v>332</v>
      </c>
      <c r="B7" s="102">
        <f>3101040+157400+157680</f>
        <v>3416120</v>
      </c>
      <c r="C7" s="102">
        <f>SUM(D7:O7)</f>
        <v>3006655</v>
      </c>
      <c r="D7" s="102">
        <v>2721175</v>
      </c>
      <c r="E7" s="102">
        <v>0</v>
      </c>
      <c r="F7" s="102">
        <v>143100</v>
      </c>
      <c r="G7" s="102">
        <v>0</v>
      </c>
      <c r="H7" s="102">
        <v>0</v>
      </c>
      <c r="I7" s="102">
        <v>142380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</row>
    <row r="8" spans="1:15" ht="23.25">
      <c r="A8" s="164" t="s">
        <v>333</v>
      </c>
      <c r="B8" s="102">
        <f>106380</f>
        <v>106380</v>
      </c>
      <c r="C8" s="102">
        <f aca="true" t="shared" si="0" ref="C8:C18">SUM(D8:O8)</f>
        <v>106380</v>
      </c>
      <c r="D8" s="102">
        <v>106380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</row>
    <row r="9" spans="1:15" ht="23.25">
      <c r="A9" s="164" t="s">
        <v>334</v>
      </c>
      <c r="B9" s="102">
        <f>187980+190120+196800</f>
        <v>574900</v>
      </c>
      <c r="C9" s="102">
        <f t="shared" si="0"/>
        <v>372340</v>
      </c>
      <c r="D9" s="102">
        <v>187980</v>
      </c>
      <c r="E9" s="102">
        <v>0</v>
      </c>
      <c r="F9" s="102">
        <v>3960</v>
      </c>
      <c r="G9" s="102">
        <v>0</v>
      </c>
      <c r="H9" s="102">
        <v>0</v>
      </c>
      <c r="I9" s="102">
        <v>180400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</row>
    <row r="10" spans="1:15" ht="23.25">
      <c r="A10" s="164" t="s">
        <v>335</v>
      </c>
      <c r="B10" s="102">
        <f>531780+109250+108830</f>
        <v>749860</v>
      </c>
      <c r="C10" s="102">
        <f t="shared" si="0"/>
        <v>650808.5</v>
      </c>
      <c r="D10" s="102">
        <v>472781.5</v>
      </c>
      <c r="E10" s="102">
        <v>0</v>
      </c>
      <c r="F10" s="102">
        <v>95015</v>
      </c>
      <c r="G10" s="102">
        <v>0</v>
      </c>
      <c r="H10" s="102">
        <v>0</v>
      </c>
      <c r="I10" s="102">
        <v>83012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</row>
    <row r="11" spans="1:15" ht="23.25">
      <c r="A11" s="164" t="s">
        <v>336</v>
      </c>
      <c r="B11" s="102">
        <f>572270+349100+459400+50000+50000+106380+75000+100000+130000</f>
        <v>1892150</v>
      </c>
      <c r="C11" s="102">
        <f t="shared" si="0"/>
        <v>1451975</v>
      </c>
      <c r="D11" s="102">
        <v>419265</v>
      </c>
      <c r="E11" s="102">
        <v>46980</v>
      </c>
      <c r="F11" s="102">
        <v>221601</v>
      </c>
      <c r="G11" s="102">
        <v>74731</v>
      </c>
      <c r="H11" s="102">
        <v>72588</v>
      </c>
      <c r="I11" s="102">
        <v>107040</v>
      </c>
      <c r="J11" s="102">
        <v>67950</v>
      </c>
      <c r="K11" s="102">
        <v>414920</v>
      </c>
      <c r="L11" s="102">
        <v>0</v>
      </c>
      <c r="M11" s="102">
        <v>26900</v>
      </c>
      <c r="N11" s="102">
        <v>0</v>
      </c>
      <c r="O11" s="102">
        <v>0</v>
      </c>
    </row>
    <row r="12" spans="1:15" ht="23.25">
      <c r="A12" s="164" t="s">
        <v>337</v>
      </c>
      <c r="B12" s="102">
        <f>158079+909358+50000+70000+27441</f>
        <v>1214878</v>
      </c>
      <c r="C12" s="102">
        <f t="shared" si="0"/>
        <v>1083781.8</v>
      </c>
      <c r="D12" s="102">
        <v>107425</v>
      </c>
      <c r="E12" s="102">
        <v>0</v>
      </c>
      <c r="F12" s="102">
        <v>844600.8</v>
      </c>
      <c r="G12" s="102">
        <v>0</v>
      </c>
      <c r="H12" s="102">
        <v>70000</v>
      </c>
      <c r="I12" s="102">
        <v>11774</v>
      </c>
      <c r="J12" s="102">
        <v>0</v>
      </c>
      <c r="K12" s="102">
        <v>49982</v>
      </c>
      <c r="L12" s="102">
        <v>0</v>
      </c>
      <c r="M12" s="102">
        <v>0</v>
      </c>
      <c r="N12" s="102">
        <v>0</v>
      </c>
      <c r="O12" s="102">
        <v>0</v>
      </c>
    </row>
    <row r="13" spans="1:15" ht="23.25">
      <c r="A13" s="164" t="s">
        <v>338</v>
      </c>
      <c r="B13" s="102">
        <f>132483</f>
        <v>132483</v>
      </c>
      <c r="C13" s="102">
        <f t="shared" si="0"/>
        <v>114913.94</v>
      </c>
      <c r="D13" s="102">
        <v>114913.94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</row>
    <row r="14" spans="1:15" ht="23.25">
      <c r="A14" s="164" t="s">
        <v>339</v>
      </c>
      <c r="B14" s="102">
        <f>1088200+70000+136000+70000+55000+311559+50000</f>
        <v>1780759</v>
      </c>
      <c r="C14" s="102">
        <f t="shared" si="0"/>
        <v>1568246.32</v>
      </c>
      <c r="D14" s="102">
        <v>0</v>
      </c>
      <c r="E14" s="102">
        <v>0</v>
      </c>
      <c r="F14" s="102">
        <v>1056688</v>
      </c>
      <c r="G14" s="102">
        <v>70000</v>
      </c>
      <c r="H14" s="102">
        <v>30000</v>
      </c>
      <c r="I14" s="102">
        <v>311558.32</v>
      </c>
      <c r="J14" s="102">
        <v>30000</v>
      </c>
      <c r="K14" s="102">
        <v>70000</v>
      </c>
      <c r="L14" s="102">
        <v>0</v>
      </c>
      <c r="M14" s="102">
        <v>0</v>
      </c>
      <c r="N14" s="102">
        <v>0</v>
      </c>
      <c r="O14" s="102">
        <v>0</v>
      </c>
    </row>
    <row r="15" spans="1:15" ht="23.25">
      <c r="A15" s="164" t="s">
        <v>340</v>
      </c>
      <c r="B15" s="102">
        <f>20000</f>
        <v>20000</v>
      </c>
      <c r="C15" s="102">
        <f t="shared" si="0"/>
        <v>20000</v>
      </c>
      <c r="D15" s="102">
        <v>20000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</row>
    <row r="16" spans="1:15" ht="23.25">
      <c r="A16" s="164" t="s">
        <v>341</v>
      </c>
      <c r="B16" s="102">
        <v>1213505</v>
      </c>
      <c r="C16" s="102">
        <f t="shared" si="0"/>
        <v>421144.33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421144.33</v>
      </c>
    </row>
    <row r="17" spans="1:15" ht="23.25">
      <c r="A17" s="164" t="s">
        <v>342</v>
      </c>
      <c r="B17" s="102">
        <f>820000+8780+14000+15500</f>
        <v>858280</v>
      </c>
      <c r="C17" s="102">
        <f t="shared" si="0"/>
        <v>802930</v>
      </c>
      <c r="D17" s="102">
        <v>773430</v>
      </c>
      <c r="E17" s="102">
        <v>14000</v>
      </c>
      <c r="F17" s="102">
        <v>0</v>
      </c>
      <c r="G17" s="102">
        <v>0</v>
      </c>
      <c r="H17" s="102">
        <v>0</v>
      </c>
      <c r="I17" s="102">
        <v>15500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</row>
    <row r="18" spans="1:15" ht="23.25">
      <c r="A18" s="165" t="s">
        <v>343</v>
      </c>
      <c r="B18" s="166">
        <f>70000+65000+2656400+450000+348000</f>
        <v>3589400</v>
      </c>
      <c r="C18" s="102">
        <f t="shared" si="0"/>
        <v>734000</v>
      </c>
      <c r="D18" s="166">
        <v>0</v>
      </c>
      <c r="E18" s="166">
        <v>65000</v>
      </c>
      <c r="F18" s="166">
        <v>0</v>
      </c>
      <c r="G18" s="166">
        <v>0</v>
      </c>
      <c r="H18" s="102">
        <v>0</v>
      </c>
      <c r="I18" s="102">
        <v>619000</v>
      </c>
      <c r="J18" s="102">
        <v>50000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</row>
    <row r="19" spans="1:15" s="159" customFormat="1" ht="24" thickBot="1">
      <c r="A19" s="167" t="s">
        <v>227</v>
      </c>
      <c r="B19" s="175">
        <f aca="true" t="shared" si="1" ref="B19:O19">SUM(B7:B18)</f>
        <v>15548715</v>
      </c>
      <c r="C19" s="175">
        <f t="shared" si="1"/>
        <v>10333174.89</v>
      </c>
      <c r="D19" s="175">
        <f t="shared" si="1"/>
        <v>4923350.4399999995</v>
      </c>
      <c r="E19" s="175">
        <f t="shared" si="1"/>
        <v>125980</v>
      </c>
      <c r="F19" s="175">
        <f t="shared" si="1"/>
        <v>2364964.8</v>
      </c>
      <c r="G19" s="175">
        <f t="shared" si="1"/>
        <v>144731</v>
      </c>
      <c r="H19" s="175">
        <f t="shared" si="1"/>
        <v>172588</v>
      </c>
      <c r="I19" s="175">
        <f t="shared" si="1"/>
        <v>1470664.32</v>
      </c>
      <c r="J19" s="175">
        <f t="shared" si="1"/>
        <v>147950</v>
      </c>
      <c r="K19" s="175">
        <f t="shared" si="1"/>
        <v>534902</v>
      </c>
      <c r="L19" s="175">
        <f t="shared" si="1"/>
        <v>0</v>
      </c>
      <c r="M19" s="175">
        <f t="shared" si="1"/>
        <v>26900</v>
      </c>
      <c r="N19" s="175">
        <f t="shared" si="1"/>
        <v>0</v>
      </c>
      <c r="O19" s="175">
        <f t="shared" si="1"/>
        <v>421144.33</v>
      </c>
    </row>
    <row r="20" spans="1:15" s="159" customFormat="1" ht="24" thickTop="1">
      <c r="A20" s="181" t="s">
        <v>442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</row>
    <row r="21" spans="1:15" s="159" customFormat="1" ht="23.25">
      <c r="A21" s="183" t="s">
        <v>443</v>
      </c>
      <c r="B21" s="102">
        <f>35000+21000+1700+5000000+20000+500000+1279720+190000+420+25000+20000</f>
        <v>7092840</v>
      </c>
      <c r="C21" s="102">
        <f>21949.11+36562.09+1914+500+6186038.98+45545.22+625592.19+1507509.35+50916.06+34265.95+222873</f>
        <v>8733665.95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</row>
    <row r="22" spans="1:15" s="159" customFormat="1" ht="23.25">
      <c r="A22" s="183" t="s">
        <v>444</v>
      </c>
      <c r="B22" s="102">
        <f>760+300+1000+20000+133+13000</f>
        <v>35193</v>
      </c>
      <c r="C22" s="102">
        <f>900+589+4680+3000+340+14100+1030</f>
        <v>24639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spans="1:15" s="159" customFormat="1" ht="23.25">
      <c r="A23" s="183" t="s">
        <v>445</v>
      </c>
      <c r="B23" s="102">
        <v>0</v>
      </c>
      <c r="C23" s="102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</row>
    <row r="24" spans="1:15" s="159" customFormat="1" ht="23.25">
      <c r="A24" s="183" t="s">
        <v>446</v>
      </c>
      <c r="B24" s="102">
        <f>80000</f>
        <v>80000</v>
      </c>
      <c r="C24" s="102">
        <v>83321.37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</row>
    <row r="25" spans="1:15" s="159" customFormat="1" ht="23.25">
      <c r="A25" s="183" t="s">
        <v>447</v>
      </c>
      <c r="B25" s="102">
        <f>50000+1200+1000+1000</f>
        <v>53200</v>
      </c>
      <c r="C25" s="102">
        <f>137400+800+323080</f>
        <v>461280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1:15" s="159" customFormat="1" ht="23.25">
      <c r="A26" s="183" t="s">
        <v>448</v>
      </c>
      <c r="B26" s="102">
        <v>0</v>
      </c>
      <c r="C26" s="102">
        <v>0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1:15" s="159" customFormat="1" ht="23.25">
      <c r="A27" s="183" t="s">
        <v>449</v>
      </c>
      <c r="B27" s="102">
        <v>0</v>
      </c>
      <c r="C27" s="102">
        <v>0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</row>
    <row r="28" spans="1:15" s="159" customFormat="1" ht="23.25">
      <c r="A28" s="183" t="s">
        <v>450</v>
      </c>
      <c r="B28" s="102">
        <v>8287482</v>
      </c>
      <c r="C28" s="102">
        <v>5404004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</row>
    <row r="29" spans="1:15" s="159" customFormat="1" ht="23.25">
      <c r="A29" s="186" t="s">
        <v>451</v>
      </c>
      <c r="B29" s="166">
        <v>0</v>
      </c>
      <c r="C29" s="166">
        <f>3751000+213247</f>
        <v>3964247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</row>
    <row r="30" spans="1:15" s="159" customFormat="1" ht="24" thickBot="1">
      <c r="A30" s="167" t="s">
        <v>222</v>
      </c>
      <c r="B30" s="175">
        <f aca="true" t="shared" si="2" ref="B30:O30">SUM(B21:B29)</f>
        <v>15548715</v>
      </c>
      <c r="C30" s="175">
        <f t="shared" si="2"/>
        <v>18671157.32</v>
      </c>
      <c r="D30" s="175">
        <f t="shared" si="2"/>
        <v>0</v>
      </c>
      <c r="E30" s="175">
        <f t="shared" si="2"/>
        <v>0</v>
      </c>
      <c r="F30" s="175">
        <f t="shared" si="2"/>
        <v>0</v>
      </c>
      <c r="G30" s="175">
        <f t="shared" si="2"/>
        <v>0</v>
      </c>
      <c r="H30" s="175">
        <f t="shared" si="2"/>
        <v>0</v>
      </c>
      <c r="I30" s="175">
        <f t="shared" si="2"/>
        <v>0</v>
      </c>
      <c r="J30" s="175">
        <f t="shared" si="2"/>
        <v>0</v>
      </c>
      <c r="K30" s="175">
        <f t="shared" si="2"/>
        <v>0</v>
      </c>
      <c r="L30" s="175">
        <f t="shared" si="2"/>
        <v>0</v>
      </c>
      <c r="M30" s="175">
        <f t="shared" si="2"/>
        <v>0</v>
      </c>
      <c r="N30" s="175">
        <f t="shared" si="2"/>
        <v>0</v>
      </c>
      <c r="O30" s="175">
        <f t="shared" si="2"/>
        <v>0</v>
      </c>
    </row>
    <row r="31" spans="1:15" ht="24" thickTop="1">
      <c r="A31" s="328" t="s">
        <v>243</v>
      </c>
      <c r="B31" s="328"/>
      <c r="C31" s="328"/>
      <c r="D31" s="168"/>
      <c r="E31" s="168"/>
      <c r="F31" s="168"/>
      <c r="G31" s="329" t="s">
        <v>244</v>
      </c>
      <c r="H31" s="329"/>
      <c r="I31" s="329"/>
      <c r="L31" s="329" t="s">
        <v>244</v>
      </c>
      <c r="M31" s="329"/>
      <c r="N31" s="329"/>
      <c r="O31" s="329"/>
    </row>
    <row r="32" spans="1:13" ht="13.5" customHeight="1">
      <c r="A32" s="154"/>
      <c r="B32" s="154"/>
      <c r="C32" s="154"/>
      <c r="D32" s="168"/>
      <c r="E32" s="168"/>
      <c r="F32" s="168"/>
      <c r="G32" s="168"/>
      <c r="H32" s="168"/>
      <c r="I32" s="168"/>
      <c r="L32" s="168"/>
      <c r="M32" s="168"/>
    </row>
    <row r="33" spans="1:15" ht="23.25">
      <c r="A33" s="328" t="s">
        <v>241</v>
      </c>
      <c r="B33" s="328"/>
      <c r="C33" s="328"/>
      <c r="D33" s="168"/>
      <c r="E33" s="168"/>
      <c r="F33" s="168"/>
      <c r="G33" s="329" t="s">
        <v>242</v>
      </c>
      <c r="H33" s="329"/>
      <c r="I33" s="329"/>
      <c r="L33" s="329" t="s">
        <v>289</v>
      </c>
      <c r="M33" s="329"/>
      <c r="N33" s="329"/>
      <c r="O33" s="329"/>
    </row>
    <row r="34" spans="1:15" ht="23.25">
      <c r="A34" s="328" t="s">
        <v>11</v>
      </c>
      <c r="B34" s="328"/>
      <c r="C34" s="328"/>
      <c r="D34" s="168"/>
      <c r="E34" s="168"/>
      <c r="F34" s="168"/>
      <c r="G34" s="329" t="s">
        <v>12</v>
      </c>
      <c r="H34" s="329"/>
      <c r="I34" s="329"/>
      <c r="L34" s="329" t="s">
        <v>290</v>
      </c>
      <c r="M34" s="329"/>
      <c r="N34" s="329"/>
      <c r="O34" s="329"/>
    </row>
    <row r="35" spans="12:15" ht="23.25">
      <c r="L35" s="329"/>
      <c r="M35" s="329"/>
      <c r="N35" s="329"/>
      <c r="O35" s="329"/>
    </row>
  </sheetData>
  <mergeCells count="18">
    <mergeCell ref="A1:O1"/>
    <mergeCell ref="A2:O2"/>
    <mergeCell ref="A3:O3"/>
    <mergeCell ref="A4:A5"/>
    <mergeCell ref="B4:B5"/>
    <mergeCell ref="C4:C5"/>
    <mergeCell ref="F4:F5"/>
    <mergeCell ref="G4:G5"/>
    <mergeCell ref="G31:I31"/>
    <mergeCell ref="L35:O35"/>
    <mergeCell ref="A33:C33"/>
    <mergeCell ref="G33:I33"/>
    <mergeCell ref="L33:O33"/>
    <mergeCell ref="A34:C34"/>
    <mergeCell ref="G34:I34"/>
    <mergeCell ref="L34:O34"/>
    <mergeCell ref="L31:O31"/>
    <mergeCell ref="A31:C31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SheetLayoutView="100" workbookViewId="0" topLeftCell="A86">
      <selection activeCell="B103" sqref="B103"/>
    </sheetView>
  </sheetViews>
  <sheetFormatPr defaultColWidth="9.140625" defaultRowHeight="21.75" customHeight="1"/>
  <cols>
    <col min="1" max="1" width="6.57421875" style="49" customWidth="1"/>
    <col min="2" max="2" width="48.57421875" style="49" customWidth="1"/>
    <col min="3" max="3" width="14.140625" style="96" customWidth="1"/>
    <col min="4" max="4" width="14.00390625" style="96" customWidth="1"/>
    <col min="5" max="5" width="4.8515625" style="49" customWidth="1"/>
    <col min="6" max="6" width="13.57421875" style="96" customWidth="1"/>
    <col min="7" max="7" width="16.28125" style="49" customWidth="1"/>
    <col min="8" max="8" width="13.28125" style="49" customWidth="1"/>
    <col min="9" max="9" width="3.7109375" style="49" customWidth="1"/>
    <col min="10" max="10" width="10.28125" style="49" customWidth="1"/>
    <col min="11" max="16384" width="9.140625" style="49" customWidth="1"/>
  </cols>
  <sheetData>
    <row r="1" spans="1:6" ht="21.75" customHeight="1">
      <c r="A1" s="321" t="s">
        <v>527</v>
      </c>
      <c r="B1" s="321"/>
      <c r="C1" s="321"/>
      <c r="D1" s="321"/>
      <c r="E1" s="321"/>
      <c r="F1" s="321"/>
    </row>
    <row r="2" spans="1:6" ht="21.75" customHeight="1">
      <c r="A2" s="321" t="s">
        <v>526</v>
      </c>
      <c r="B2" s="321"/>
      <c r="C2" s="321"/>
      <c r="D2" s="321"/>
      <c r="E2" s="321"/>
      <c r="F2" s="321"/>
    </row>
    <row r="3" spans="1:6" ht="21.75" customHeight="1">
      <c r="A3" s="330" t="s">
        <v>465</v>
      </c>
      <c r="B3" s="330"/>
      <c r="C3" s="330"/>
      <c r="D3" s="330"/>
      <c r="E3" s="330"/>
      <c r="F3" s="330"/>
    </row>
    <row r="4" spans="1:6" s="159" customFormat="1" ht="21.75" customHeight="1">
      <c r="A4" s="331" t="s">
        <v>26</v>
      </c>
      <c r="B4" s="332"/>
      <c r="C4" s="335" t="s">
        <v>53</v>
      </c>
      <c r="D4" s="335" t="s">
        <v>54</v>
      </c>
      <c r="E4" s="195" t="s">
        <v>466</v>
      </c>
      <c r="F4" s="157" t="s">
        <v>467</v>
      </c>
    </row>
    <row r="5" spans="1:6" s="159" customFormat="1" ht="21.75" customHeight="1">
      <c r="A5" s="333"/>
      <c r="B5" s="334"/>
      <c r="C5" s="336"/>
      <c r="D5" s="336"/>
      <c r="E5" s="196" t="s">
        <v>169</v>
      </c>
      <c r="F5" s="160" t="s">
        <v>468</v>
      </c>
    </row>
    <row r="6" spans="1:6" ht="21.75" customHeight="1">
      <c r="A6" s="111" t="s">
        <v>469</v>
      </c>
      <c r="B6" s="93"/>
      <c r="C6" s="94"/>
      <c r="D6" s="94"/>
      <c r="E6" s="105"/>
      <c r="F6" s="94"/>
    </row>
    <row r="7" spans="1:6" ht="21.75" customHeight="1">
      <c r="A7" s="112" t="s">
        <v>470</v>
      </c>
      <c r="B7" s="82"/>
      <c r="C7" s="83"/>
      <c r="D7" s="83"/>
      <c r="E7" s="197"/>
      <c r="F7" s="83"/>
    </row>
    <row r="8" spans="1:6" ht="21.75" customHeight="1">
      <c r="A8" s="198" t="s">
        <v>471</v>
      </c>
      <c r="B8" s="82"/>
      <c r="C8" s="83"/>
      <c r="D8" s="83"/>
      <c r="E8" s="199"/>
      <c r="F8" s="200"/>
    </row>
    <row r="9" spans="1:6" ht="21.75" customHeight="1">
      <c r="A9" s="80">
        <v>1.1</v>
      </c>
      <c r="B9" s="82" t="s">
        <v>472</v>
      </c>
      <c r="C9" s="83">
        <v>35000</v>
      </c>
      <c r="D9" s="201">
        <v>36917.2</v>
      </c>
      <c r="E9" s="106" t="s">
        <v>466</v>
      </c>
      <c r="F9" s="83">
        <f aca="true" t="shared" si="0" ref="F9:F14">D9-C9</f>
        <v>1917.199999999997</v>
      </c>
    </row>
    <row r="10" spans="1:6" ht="21.75" customHeight="1">
      <c r="A10" s="80">
        <v>1.2</v>
      </c>
      <c r="B10" s="82" t="s">
        <v>473</v>
      </c>
      <c r="C10" s="83">
        <v>21000</v>
      </c>
      <c r="D10" s="201">
        <v>21594</v>
      </c>
      <c r="E10" s="106" t="s">
        <v>466</v>
      </c>
      <c r="F10" s="83">
        <f t="shared" si="0"/>
        <v>594</v>
      </c>
    </row>
    <row r="11" spans="1:8" ht="21.75" customHeight="1">
      <c r="A11" s="80">
        <v>1.3</v>
      </c>
      <c r="B11" s="82" t="s">
        <v>474</v>
      </c>
      <c r="C11" s="83">
        <v>1700</v>
      </c>
      <c r="D11" s="201">
        <v>1914</v>
      </c>
      <c r="E11" s="106" t="s">
        <v>466</v>
      </c>
      <c r="F11" s="83">
        <f t="shared" si="0"/>
        <v>214</v>
      </c>
      <c r="H11" s="202"/>
    </row>
    <row r="12" spans="1:6" ht="21.75" customHeight="1">
      <c r="A12" s="80">
        <v>1.4</v>
      </c>
      <c r="B12" s="82" t="s">
        <v>475</v>
      </c>
      <c r="C12" s="83">
        <v>500000</v>
      </c>
      <c r="D12" s="201">
        <v>625592.19</v>
      </c>
      <c r="E12" s="106" t="s">
        <v>466</v>
      </c>
      <c r="F12" s="83">
        <f t="shared" si="0"/>
        <v>125592.18999999994</v>
      </c>
    </row>
    <row r="13" spans="1:6" ht="21.75" customHeight="1">
      <c r="A13" s="80">
        <v>1.5</v>
      </c>
      <c r="B13" s="82" t="s">
        <v>476</v>
      </c>
      <c r="C13" s="83">
        <v>1279720</v>
      </c>
      <c r="D13" s="201">
        <v>1507509.35</v>
      </c>
      <c r="E13" s="106" t="s">
        <v>466</v>
      </c>
      <c r="F13" s="83">
        <f t="shared" si="0"/>
        <v>227789.3500000001</v>
      </c>
    </row>
    <row r="14" spans="1:6" ht="21.75" customHeight="1">
      <c r="A14" s="80">
        <v>1.6</v>
      </c>
      <c r="B14" s="82" t="s">
        <v>477</v>
      </c>
      <c r="C14" s="83">
        <v>5000000</v>
      </c>
      <c r="D14" s="201">
        <v>6186038.98</v>
      </c>
      <c r="E14" s="106" t="s">
        <v>466</v>
      </c>
      <c r="F14" s="83">
        <f t="shared" si="0"/>
        <v>1186038.9800000004</v>
      </c>
    </row>
    <row r="15" spans="1:6" ht="21.75" customHeight="1">
      <c r="A15" s="80">
        <v>1.7</v>
      </c>
      <c r="B15" s="82" t="s">
        <v>478</v>
      </c>
      <c r="C15" s="83">
        <v>20000</v>
      </c>
      <c r="D15" s="201">
        <v>45545.22</v>
      </c>
      <c r="E15" s="106" t="s">
        <v>529</v>
      </c>
      <c r="F15" s="83">
        <f>D15+C15</f>
        <v>65545.22</v>
      </c>
    </row>
    <row r="16" spans="1:6" ht="21.75" customHeight="1">
      <c r="A16" s="80">
        <v>1.8</v>
      </c>
      <c r="B16" s="82" t="s">
        <v>479</v>
      </c>
      <c r="C16" s="83">
        <v>0</v>
      </c>
      <c r="D16" s="201">
        <v>0</v>
      </c>
      <c r="E16" s="199"/>
      <c r="F16" s="83">
        <f>C16-D16</f>
        <v>0</v>
      </c>
    </row>
    <row r="17" spans="1:6" ht="21.75" customHeight="1">
      <c r="A17" s="80">
        <v>1.9</v>
      </c>
      <c r="B17" s="82" t="s">
        <v>480</v>
      </c>
      <c r="C17" s="83">
        <v>190000</v>
      </c>
      <c r="D17" s="201">
        <v>222873</v>
      </c>
      <c r="E17" s="106" t="s">
        <v>529</v>
      </c>
      <c r="F17" s="83">
        <f>D17-C17</f>
        <v>32873</v>
      </c>
    </row>
    <row r="18" spans="1:6" ht="21.75" customHeight="1">
      <c r="A18" s="203">
        <v>1.1</v>
      </c>
      <c r="B18" s="82" t="s">
        <v>481</v>
      </c>
      <c r="C18" s="83">
        <v>20000</v>
      </c>
      <c r="D18" s="201">
        <v>50916.06</v>
      </c>
      <c r="E18" s="106" t="s">
        <v>466</v>
      </c>
      <c r="F18" s="83">
        <f>D18-C18</f>
        <v>30916.059999999998</v>
      </c>
    </row>
    <row r="19" spans="1:6" ht="21.75" customHeight="1">
      <c r="A19" s="203">
        <v>1.11</v>
      </c>
      <c r="B19" s="82" t="s">
        <v>482</v>
      </c>
      <c r="C19" s="201">
        <v>25000</v>
      </c>
      <c r="D19" s="83">
        <v>34265.95</v>
      </c>
      <c r="E19" s="106" t="s">
        <v>466</v>
      </c>
      <c r="F19" s="83">
        <f>D19-C19</f>
        <v>9265.949999999997</v>
      </c>
    </row>
    <row r="20" spans="1:6" ht="21.75" customHeight="1">
      <c r="A20" s="203">
        <v>1.12</v>
      </c>
      <c r="B20" s="82" t="s">
        <v>483</v>
      </c>
      <c r="C20" s="83">
        <v>420</v>
      </c>
      <c r="D20" s="83">
        <v>500</v>
      </c>
      <c r="E20" s="106" t="s">
        <v>466</v>
      </c>
      <c r="F20" s="83">
        <f>D20-C20</f>
        <v>80</v>
      </c>
    </row>
    <row r="21" spans="1:6" ht="21.75" customHeight="1">
      <c r="A21" s="203"/>
      <c r="B21" s="204" t="s">
        <v>9</v>
      </c>
      <c r="C21" s="90">
        <f>SUM(C9:C20)</f>
        <v>7092840</v>
      </c>
      <c r="D21" s="90">
        <f>SUM(D9:D20)</f>
        <v>8733665.950000001</v>
      </c>
      <c r="E21" s="90" t="s">
        <v>466</v>
      </c>
      <c r="F21" s="90">
        <f>D21-C21</f>
        <v>1640825.9500000011</v>
      </c>
    </row>
    <row r="22" spans="1:6" ht="21.75" customHeight="1">
      <c r="A22" s="198" t="s">
        <v>484</v>
      </c>
      <c r="B22" s="82"/>
      <c r="C22" s="94"/>
      <c r="D22" s="94"/>
      <c r="E22" s="205"/>
      <c r="F22" s="94"/>
    </row>
    <row r="23" spans="1:6" ht="21.75" customHeight="1">
      <c r="A23" s="80">
        <v>2.1</v>
      </c>
      <c r="B23" s="82" t="s">
        <v>485</v>
      </c>
      <c r="C23" s="83">
        <v>760</v>
      </c>
      <c r="D23" s="83">
        <v>900</v>
      </c>
      <c r="E23" s="106" t="s">
        <v>466</v>
      </c>
      <c r="F23" s="83">
        <f>C23-D23</f>
        <v>-140</v>
      </c>
    </row>
    <row r="24" spans="1:6" ht="21.75" customHeight="1">
      <c r="A24" s="80">
        <v>2.2</v>
      </c>
      <c r="B24" s="82" t="s">
        <v>486</v>
      </c>
      <c r="C24" s="83">
        <v>300</v>
      </c>
      <c r="D24" s="83">
        <v>589</v>
      </c>
      <c r="E24" s="106" t="s">
        <v>466</v>
      </c>
      <c r="F24" s="83">
        <f>D24-C24</f>
        <v>289</v>
      </c>
    </row>
    <row r="25" spans="1:6" ht="21.75" customHeight="1">
      <c r="A25" s="80">
        <v>2.3</v>
      </c>
      <c r="B25" s="82" t="s">
        <v>487</v>
      </c>
      <c r="C25" s="83">
        <v>1000</v>
      </c>
      <c r="D25" s="83">
        <v>0</v>
      </c>
      <c r="E25" s="106" t="s">
        <v>169</v>
      </c>
      <c r="F25" s="83">
        <f>C25-D25</f>
        <v>1000</v>
      </c>
    </row>
    <row r="26" spans="1:6" ht="21.75" customHeight="1">
      <c r="A26" s="80">
        <v>2.4</v>
      </c>
      <c r="B26" s="82" t="s">
        <v>488</v>
      </c>
      <c r="C26" s="83">
        <v>20000</v>
      </c>
      <c r="D26" s="83">
        <v>4680</v>
      </c>
      <c r="E26" s="106" t="s">
        <v>169</v>
      </c>
      <c r="F26" s="83">
        <f>C26-D26</f>
        <v>15320</v>
      </c>
    </row>
    <row r="27" spans="1:6" ht="21.75" customHeight="1">
      <c r="A27" s="80">
        <v>2.5</v>
      </c>
      <c r="B27" s="82" t="s">
        <v>489</v>
      </c>
      <c r="C27" s="83">
        <v>133</v>
      </c>
      <c r="D27" s="83">
        <v>340</v>
      </c>
      <c r="E27" s="106" t="s">
        <v>466</v>
      </c>
      <c r="F27" s="83">
        <f>D27-C27</f>
        <v>207</v>
      </c>
    </row>
    <row r="28" spans="1:6" ht="21.75" customHeight="1">
      <c r="A28" s="80">
        <v>2.6</v>
      </c>
      <c r="B28" s="82" t="s">
        <v>490</v>
      </c>
      <c r="C28" s="83">
        <v>10000</v>
      </c>
      <c r="D28" s="83">
        <v>14100</v>
      </c>
      <c r="E28" s="106" t="s">
        <v>466</v>
      </c>
      <c r="F28" s="83">
        <f>D28-C28</f>
        <v>4100</v>
      </c>
    </row>
    <row r="29" spans="1:6" ht="21.75" customHeight="1">
      <c r="A29" s="80">
        <v>2.7</v>
      </c>
      <c r="B29" s="224" t="s">
        <v>491</v>
      </c>
      <c r="C29" s="83">
        <v>3000</v>
      </c>
      <c r="D29" s="83">
        <v>3000</v>
      </c>
      <c r="E29" s="199"/>
      <c r="F29" s="83">
        <f>C29-D29</f>
        <v>0</v>
      </c>
    </row>
    <row r="30" spans="1:6" ht="21.75" customHeight="1">
      <c r="A30" s="80">
        <v>2.8</v>
      </c>
      <c r="B30" s="82" t="s">
        <v>530</v>
      </c>
      <c r="C30" s="200" t="s">
        <v>531</v>
      </c>
      <c r="D30" s="83">
        <v>1030</v>
      </c>
      <c r="E30" s="106" t="s">
        <v>529</v>
      </c>
      <c r="F30" s="83">
        <v>1030</v>
      </c>
    </row>
    <row r="31" spans="1:6" ht="21.75" customHeight="1">
      <c r="A31" s="80"/>
      <c r="B31" s="204" t="s">
        <v>9</v>
      </c>
      <c r="C31" s="90">
        <f>SUM(C23:C29)</f>
        <v>35193</v>
      </c>
      <c r="D31" s="90">
        <f>SUM(D23:D30)</f>
        <v>24639</v>
      </c>
      <c r="E31" s="90">
        <f>SUM(E23:E30)</f>
        <v>0</v>
      </c>
      <c r="F31" s="90">
        <f>C31-D31</f>
        <v>10554</v>
      </c>
    </row>
    <row r="32" spans="1:6" ht="21.75" customHeight="1">
      <c r="A32" s="198" t="s">
        <v>492</v>
      </c>
      <c r="B32" s="82"/>
      <c r="C32" s="94"/>
      <c r="D32" s="94"/>
      <c r="E32" s="205"/>
      <c r="F32" s="206"/>
    </row>
    <row r="33" spans="1:6" ht="21.75" customHeight="1">
      <c r="A33" s="80">
        <v>3.1</v>
      </c>
      <c r="B33" s="82" t="s">
        <v>493</v>
      </c>
      <c r="C33" s="83">
        <v>80000</v>
      </c>
      <c r="D33" s="83">
        <v>83321.37</v>
      </c>
      <c r="E33" s="106" t="s">
        <v>466</v>
      </c>
      <c r="F33" s="83">
        <f>D33-C33</f>
        <v>3321.3699999999953</v>
      </c>
    </row>
    <row r="34" spans="1:6" ht="21.75" customHeight="1">
      <c r="A34" s="84"/>
      <c r="B34" s="180" t="s">
        <v>9</v>
      </c>
      <c r="C34" s="90">
        <f>SUM(C33)</f>
        <v>80000</v>
      </c>
      <c r="D34" s="90">
        <f>SUM(D33)</f>
        <v>83321.37</v>
      </c>
      <c r="E34" s="207" t="s">
        <v>466</v>
      </c>
      <c r="F34" s="90">
        <f>SUM(F33)</f>
        <v>3321.3699999999953</v>
      </c>
    </row>
    <row r="35" spans="1:7" ht="21.75" customHeight="1">
      <c r="A35" s="208" t="s">
        <v>494</v>
      </c>
      <c r="B35" s="208"/>
      <c r="C35" s="208"/>
      <c r="D35" s="208"/>
      <c r="E35" s="208"/>
      <c r="F35" s="208"/>
      <c r="G35" s="209"/>
    </row>
    <row r="36" spans="2:6" ht="26.25" customHeight="1">
      <c r="B36" s="154"/>
      <c r="C36" s="108"/>
      <c r="D36" s="108"/>
      <c r="E36" s="210"/>
      <c r="F36" s="108"/>
    </row>
    <row r="37" spans="1:7" ht="21.75" customHeight="1">
      <c r="A37" s="49" t="s">
        <v>495</v>
      </c>
      <c r="B37" s="154"/>
      <c r="C37" s="209"/>
      <c r="D37" s="209"/>
      <c r="E37" s="209"/>
      <c r="F37" s="209"/>
      <c r="G37" s="209"/>
    </row>
    <row r="38" spans="1:7" ht="21.75" customHeight="1">
      <c r="A38" s="49" t="s">
        <v>496</v>
      </c>
      <c r="B38" s="154"/>
      <c r="C38" s="209"/>
      <c r="D38" s="209"/>
      <c r="E38" s="211"/>
      <c r="F38" s="211"/>
      <c r="G38" s="211"/>
    </row>
    <row r="39" spans="2:7" ht="21.75" customHeight="1">
      <c r="B39" s="154"/>
      <c r="C39" s="210"/>
      <c r="D39" s="210"/>
      <c r="E39" s="369"/>
      <c r="F39" s="369"/>
      <c r="G39" s="369"/>
    </row>
    <row r="40" spans="1:7" ht="21.75" customHeight="1">
      <c r="A40" s="321" t="s">
        <v>497</v>
      </c>
      <c r="B40" s="321"/>
      <c r="C40" s="321"/>
      <c r="D40" s="321"/>
      <c r="E40" s="321"/>
      <c r="F40" s="321"/>
      <c r="G40" s="321"/>
    </row>
    <row r="41" spans="1:6" s="159" customFormat="1" ht="21.75" customHeight="1">
      <c r="A41" s="331" t="s">
        <v>26</v>
      </c>
      <c r="B41" s="332"/>
      <c r="C41" s="335" t="s">
        <v>53</v>
      </c>
      <c r="D41" s="335" t="s">
        <v>54</v>
      </c>
      <c r="E41" s="195" t="s">
        <v>466</v>
      </c>
      <c r="F41" s="157" t="s">
        <v>467</v>
      </c>
    </row>
    <row r="42" spans="1:6" s="159" customFormat="1" ht="21.75" customHeight="1">
      <c r="A42" s="333"/>
      <c r="B42" s="334"/>
      <c r="C42" s="336"/>
      <c r="D42" s="336"/>
      <c r="E42" s="196" t="s">
        <v>169</v>
      </c>
      <c r="F42" s="160" t="s">
        <v>468</v>
      </c>
    </row>
    <row r="43" spans="1:6" ht="21.75" customHeight="1">
      <c r="A43" s="212" t="s">
        <v>498</v>
      </c>
      <c r="B43" s="93"/>
      <c r="C43" s="201"/>
      <c r="D43" s="201"/>
      <c r="E43" s="199"/>
      <c r="F43" s="201">
        <v>0</v>
      </c>
    </row>
    <row r="44" spans="1:6" ht="21.75" customHeight="1">
      <c r="A44" s="80">
        <v>4.1</v>
      </c>
      <c r="B44" s="82" t="s">
        <v>232</v>
      </c>
      <c r="C44" s="201">
        <v>50000</v>
      </c>
      <c r="D44" s="201">
        <v>137400</v>
      </c>
      <c r="E44" s="106" t="s">
        <v>466</v>
      </c>
      <c r="F44" s="201">
        <f>D44-C44</f>
        <v>87400</v>
      </c>
    </row>
    <row r="45" spans="1:6" ht="21.75" customHeight="1">
      <c r="A45" s="80">
        <v>4.2</v>
      </c>
      <c r="B45" s="82" t="s">
        <v>499</v>
      </c>
      <c r="C45" s="201">
        <v>1200</v>
      </c>
      <c r="D45" s="201">
        <v>800</v>
      </c>
      <c r="E45" s="106">
        <v>0</v>
      </c>
      <c r="F45" s="201">
        <f>C45-D45</f>
        <v>400</v>
      </c>
    </row>
    <row r="46" spans="1:6" ht="21.75" customHeight="1">
      <c r="A46" s="80">
        <v>4.3</v>
      </c>
      <c r="B46" s="82" t="s">
        <v>528</v>
      </c>
      <c r="C46" s="201">
        <v>1000</v>
      </c>
      <c r="D46" s="201">
        <v>0</v>
      </c>
      <c r="E46" s="106"/>
      <c r="F46" s="201"/>
    </row>
    <row r="47" spans="1:6" ht="21.75" customHeight="1">
      <c r="A47" s="80">
        <v>4.4</v>
      </c>
      <c r="B47" s="82" t="s">
        <v>500</v>
      </c>
      <c r="C47" s="201">
        <v>1000</v>
      </c>
      <c r="D47" s="201">
        <v>323080</v>
      </c>
      <c r="E47" s="106" t="s">
        <v>466</v>
      </c>
      <c r="F47" s="201">
        <f>D47-C47</f>
        <v>322080</v>
      </c>
    </row>
    <row r="48" spans="1:6" ht="21.75" customHeight="1">
      <c r="A48" s="80"/>
      <c r="B48" s="204" t="s">
        <v>9</v>
      </c>
      <c r="C48" s="213">
        <f>SUM(C43:C47)</f>
        <v>53200</v>
      </c>
      <c r="D48" s="213">
        <f>SUM(D43:D47)</f>
        <v>461280</v>
      </c>
      <c r="E48" s="107" t="s">
        <v>466</v>
      </c>
      <c r="F48" s="213">
        <f>D48-C48</f>
        <v>408080</v>
      </c>
    </row>
    <row r="49" spans="1:6" ht="21.75" customHeight="1">
      <c r="A49" s="198" t="s">
        <v>501</v>
      </c>
      <c r="B49" s="82"/>
      <c r="C49" s="206"/>
      <c r="D49" s="206"/>
      <c r="E49" s="205"/>
      <c r="F49" s="206"/>
    </row>
    <row r="50" spans="1:6" ht="21.75" customHeight="1">
      <c r="A50" s="80">
        <v>5.1</v>
      </c>
      <c r="B50" s="82" t="s">
        <v>502</v>
      </c>
      <c r="C50" s="83">
        <v>8287482</v>
      </c>
      <c r="D50" s="83">
        <v>5404004</v>
      </c>
      <c r="E50" s="106" t="s">
        <v>169</v>
      </c>
      <c r="F50" s="83">
        <f>C50-D50</f>
        <v>2883478</v>
      </c>
    </row>
    <row r="51" spans="1:6" ht="21.75" customHeight="1">
      <c r="A51" s="80">
        <v>5.2</v>
      </c>
      <c r="B51" s="82" t="s">
        <v>503</v>
      </c>
      <c r="C51" s="83">
        <v>0</v>
      </c>
      <c r="D51" s="83">
        <v>0</v>
      </c>
      <c r="E51" s="106"/>
      <c r="F51" s="83">
        <f>D51-C51</f>
        <v>0</v>
      </c>
    </row>
    <row r="52" spans="1:6" ht="21.75" customHeight="1">
      <c r="A52" s="80">
        <v>5.3</v>
      </c>
      <c r="B52" s="82" t="s">
        <v>504</v>
      </c>
      <c r="C52" s="83">
        <v>0</v>
      </c>
      <c r="D52" s="83">
        <v>3964247</v>
      </c>
      <c r="E52" s="106" t="s">
        <v>466</v>
      </c>
      <c r="F52" s="83">
        <f>D52-C52</f>
        <v>3964247</v>
      </c>
    </row>
    <row r="53" spans="1:6" ht="21.75" customHeight="1">
      <c r="A53" s="80"/>
      <c r="B53" s="204" t="s">
        <v>9</v>
      </c>
      <c r="C53" s="90">
        <f>SUM(C50:C52)</f>
        <v>8287482</v>
      </c>
      <c r="D53" s="90">
        <f>SUM(D50:D52)</f>
        <v>9368251</v>
      </c>
      <c r="E53" s="107" t="s">
        <v>466</v>
      </c>
      <c r="F53" s="90">
        <f>D53-C53</f>
        <v>1080769</v>
      </c>
    </row>
    <row r="54" spans="1:6" ht="21.75" customHeight="1">
      <c r="A54" s="198" t="s">
        <v>505</v>
      </c>
      <c r="B54" s="82"/>
      <c r="C54" s="83"/>
      <c r="D54" s="83"/>
      <c r="E54" s="199"/>
      <c r="F54" s="83"/>
    </row>
    <row r="55" spans="1:6" ht="21.75" customHeight="1">
      <c r="A55" s="80">
        <v>1</v>
      </c>
      <c r="B55" s="82" t="s">
        <v>506</v>
      </c>
      <c r="C55" s="83">
        <v>0</v>
      </c>
      <c r="D55" s="83">
        <v>1987000</v>
      </c>
      <c r="E55" s="106" t="s">
        <v>466</v>
      </c>
      <c r="F55" s="83">
        <f>D55-C55</f>
        <v>1987000</v>
      </c>
    </row>
    <row r="56" spans="1:6" ht="21.75" customHeight="1">
      <c r="A56" s="112"/>
      <c r="B56" s="204" t="s">
        <v>9</v>
      </c>
      <c r="C56" s="90">
        <f>SUM(C55)</f>
        <v>0</v>
      </c>
      <c r="D56" s="90">
        <f>SUM(D55)</f>
        <v>1987000</v>
      </c>
      <c r="E56" s="107" t="s">
        <v>466</v>
      </c>
      <c r="F56" s="90">
        <f>D56-C56</f>
        <v>1987000</v>
      </c>
    </row>
    <row r="57" spans="1:10" ht="21.75" customHeight="1" thickBot="1">
      <c r="A57" s="370" t="s">
        <v>507</v>
      </c>
      <c r="B57" s="371"/>
      <c r="C57" s="214">
        <f>C21+C31+C34+C48+C53</f>
        <v>15548715</v>
      </c>
      <c r="D57" s="214">
        <f>D21+D31+D34+D48+D53</f>
        <v>18671157.32</v>
      </c>
      <c r="E57" s="215" t="s">
        <v>466</v>
      </c>
      <c r="F57" s="214">
        <f>D57-C57</f>
        <v>3122442.3200000003</v>
      </c>
      <c r="H57" s="202"/>
      <c r="J57" s="202"/>
    </row>
    <row r="58" spans="1:10" ht="21.75" customHeight="1" thickTop="1">
      <c r="A58" s="194"/>
      <c r="B58" s="176"/>
      <c r="C58" s="108"/>
      <c r="D58" s="108"/>
      <c r="E58" s="216"/>
      <c r="F58" s="108"/>
      <c r="H58" s="202"/>
      <c r="J58" s="202"/>
    </row>
    <row r="59" spans="1:7" ht="21.75" customHeight="1">
      <c r="A59" s="217" t="s">
        <v>508</v>
      </c>
      <c r="B59" s="217"/>
      <c r="C59" s="217"/>
      <c r="D59" s="217"/>
      <c r="E59" s="217"/>
      <c r="F59" s="217"/>
      <c r="G59" s="209"/>
    </row>
    <row r="60" spans="2:6" ht="36" customHeight="1">
      <c r="B60" s="154"/>
      <c r="C60" s="108"/>
      <c r="D60" s="108"/>
      <c r="E60" s="210"/>
      <c r="F60" s="108"/>
    </row>
    <row r="61" spans="1:7" ht="21.75" customHeight="1">
      <c r="A61" s="49" t="s">
        <v>495</v>
      </c>
      <c r="B61" s="154"/>
      <c r="C61" s="209"/>
      <c r="D61" s="209"/>
      <c r="E61" s="209"/>
      <c r="F61" s="209"/>
      <c r="G61" s="209"/>
    </row>
    <row r="62" spans="1:7" ht="21.75" customHeight="1">
      <c r="A62" s="49" t="s">
        <v>496</v>
      </c>
      <c r="B62" s="154"/>
      <c r="C62" s="209"/>
      <c r="D62" s="209"/>
      <c r="E62" s="211"/>
      <c r="F62" s="211"/>
      <c r="G62" s="211"/>
    </row>
    <row r="63" spans="1:10" ht="21.75" customHeight="1">
      <c r="A63" s="194"/>
      <c r="B63" s="176"/>
      <c r="C63" s="108"/>
      <c r="D63" s="108"/>
      <c r="E63" s="369"/>
      <c r="F63" s="369"/>
      <c r="G63" s="369"/>
      <c r="H63" s="202"/>
      <c r="J63" s="202"/>
    </row>
    <row r="64" spans="1:10" ht="21.75" customHeight="1">
      <c r="A64" s="194"/>
      <c r="B64" s="176"/>
      <c r="C64" s="108"/>
      <c r="D64" s="108"/>
      <c r="E64" s="216"/>
      <c r="F64" s="108"/>
      <c r="H64" s="202"/>
      <c r="J64" s="202"/>
    </row>
    <row r="65" spans="1:10" ht="21.75" customHeight="1">
      <c r="A65" s="194"/>
      <c r="B65" s="176"/>
      <c r="C65" s="108"/>
      <c r="D65" s="108"/>
      <c r="E65" s="216"/>
      <c r="F65" s="108"/>
      <c r="H65" s="202"/>
      <c r="J65" s="202"/>
    </row>
    <row r="66" spans="1:10" ht="21.75" customHeight="1">
      <c r="A66" s="194"/>
      <c r="B66" s="176"/>
      <c r="C66" s="108"/>
      <c r="D66" s="108"/>
      <c r="E66" s="216"/>
      <c r="F66" s="108"/>
      <c r="H66" s="202"/>
      <c r="J66" s="202"/>
    </row>
    <row r="67" spans="1:10" ht="21.75" customHeight="1">
      <c r="A67" s="194"/>
      <c r="B67" s="176"/>
      <c r="C67" s="108"/>
      <c r="D67" s="108"/>
      <c r="E67" s="216"/>
      <c r="F67" s="108"/>
      <c r="H67" s="202"/>
      <c r="J67" s="202"/>
    </row>
    <row r="68" spans="1:10" ht="21.75" customHeight="1">
      <c r="A68" s="194"/>
      <c r="B68" s="176"/>
      <c r="C68" s="108"/>
      <c r="D68" s="108"/>
      <c r="E68" s="216"/>
      <c r="F68" s="108"/>
      <c r="H68" s="202"/>
      <c r="J68" s="202"/>
    </row>
    <row r="69" spans="1:10" ht="21.75" customHeight="1">
      <c r="A69" s="194"/>
      <c r="B69" s="176"/>
      <c r="C69" s="108"/>
      <c r="D69" s="108"/>
      <c r="E69" s="216"/>
      <c r="F69" s="108"/>
      <c r="H69" s="202"/>
      <c r="J69" s="202"/>
    </row>
    <row r="70" spans="1:10" ht="21.75" customHeight="1">
      <c r="A70" s="194"/>
      <c r="B70" s="176"/>
      <c r="C70" s="108"/>
      <c r="D70" s="108"/>
      <c r="E70" s="216"/>
      <c r="F70" s="108"/>
      <c r="H70" s="202"/>
      <c r="J70" s="202"/>
    </row>
    <row r="71" spans="1:10" ht="21.75" customHeight="1">
      <c r="A71" s="194"/>
      <c r="B71" s="176"/>
      <c r="C71" s="108"/>
      <c r="D71" s="108"/>
      <c r="E71" s="216"/>
      <c r="F71" s="108"/>
      <c r="H71" s="202"/>
      <c r="J71" s="202"/>
    </row>
    <row r="72" spans="1:10" ht="21.75" customHeight="1">
      <c r="A72" s="194"/>
      <c r="B72" s="176"/>
      <c r="C72" s="108"/>
      <c r="D72" s="108"/>
      <c r="E72" s="216"/>
      <c r="F72" s="108"/>
      <c r="H72" s="202"/>
      <c r="J72" s="202"/>
    </row>
    <row r="73" spans="1:10" ht="21.75" customHeight="1">
      <c r="A73" s="194"/>
      <c r="B73" s="176"/>
      <c r="C73" s="108"/>
      <c r="D73" s="108"/>
      <c r="E73" s="216"/>
      <c r="F73" s="108"/>
      <c r="H73" s="202"/>
      <c r="J73" s="202"/>
    </row>
    <row r="74" spans="1:10" ht="21.75" customHeight="1">
      <c r="A74" s="194"/>
      <c r="B74" s="176"/>
      <c r="C74" s="108"/>
      <c r="D74" s="108"/>
      <c r="E74" s="216"/>
      <c r="F74" s="108"/>
      <c r="H74" s="202"/>
      <c r="J74" s="202"/>
    </row>
    <row r="75" spans="1:10" ht="21.75" customHeight="1">
      <c r="A75" s="194"/>
      <c r="B75" s="176"/>
      <c r="C75" s="108"/>
      <c r="D75" s="108"/>
      <c r="E75" s="216"/>
      <c r="F75" s="108"/>
      <c r="H75" s="202"/>
      <c r="J75" s="202"/>
    </row>
    <row r="76" spans="1:10" ht="21.75" customHeight="1">
      <c r="A76" s="321" t="s">
        <v>509</v>
      </c>
      <c r="B76" s="321"/>
      <c r="C76" s="321"/>
      <c r="D76" s="321"/>
      <c r="E76" s="321"/>
      <c r="F76" s="321"/>
      <c r="G76" s="321"/>
      <c r="H76" s="202"/>
      <c r="J76" s="202"/>
    </row>
    <row r="77" spans="1:6" ht="21.75" customHeight="1">
      <c r="A77" s="321" t="s">
        <v>532</v>
      </c>
      <c r="B77" s="321"/>
      <c r="C77" s="321"/>
      <c r="D77" s="321"/>
      <c r="E77" s="321"/>
      <c r="F77" s="321"/>
    </row>
    <row r="78" spans="1:6" ht="21.75" customHeight="1">
      <c r="A78" s="321" t="s">
        <v>526</v>
      </c>
      <c r="B78" s="321"/>
      <c r="C78" s="321"/>
      <c r="D78" s="321"/>
      <c r="E78" s="321"/>
      <c r="F78" s="321"/>
    </row>
    <row r="79" spans="1:6" ht="21.75" customHeight="1">
      <c r="A79" s="330" t="s">
        <v>465</v>
      </c>
      <c r="B79" s="330"/>
      <c r="C79" s="330"/>
      <c r="D79" s="330"/>
      <c r="E79" s="330"/>
      <c r="F79" s="330"/>
    </row>
    <row r="80" spans="1:6" ht="21.75" customHeight="1">
      <c r="A80" s="331" t="s">
        <v>26</v>
      </c>
      <c r="B80" s="332"/>
      <c r="C80" s="313" t="s">
        <v>53</v>
      </c>
      <c r="D80" s="313" t="s">
        <v>510</v>
      </c>
      <c r="E80" s="218" t="s">
        <v>466</v>
      </c>
      <c r="F80" s="219" t="s">
        <v>467</v>
      </c>
    </row>
    <row r="81" spans="1:6" ht="21.75" customHeight="1">
      <c r="A81" s="333"/>
      <c r="B81" s="334"/>
      <c r="C81" s="314"/>
      <c r="D81" s="314"/>
      <c r="E81" s="109" t="s">
        <v>169</v>
      </c>
      <c r="F81" s="220" t="s">
        <v>468</v>
      </c>
    </row>
    <row r="82" spans="1:6" ht="21.75" customHeight="1">
      <c r="A82" s="111" t="s">
        <v>511</v>
      </c>
      <c r="B82" s="93"/>
      <c r="C82" s="94"/>
      <c r="D82" s="94"/>
      <c r="E82" s="105"/>
      <c r="F82" s="94"/>
    </row>
    <row r="83" spans="1:6" ht="21.75" customHeight="1">
      <c r="A83" s="221" t="s">
        <v>512</v>
      </c>
      <c r="B83" s="82"/>
      <c r="C83" s="83"/>
      <c r="D83" s="83"/>
      <c r="E83" s="197"/>
      <c r="F83" s="83"/>
    </row>
    <row r="84" spans="1:6" ht="21.75" customHeight="1">
      <c r="A84" s="198"/>
      <c r="B84" s="222" t="s">
        <v>513</v>
      </c>
      <c r="C84" s="83"/>
      <c r="D84" s="83"/>
      <c r="E84" s="199"/>
      <c r="F84" s="83"/>
    </row>
    <row r="85" spans="1:6" ht="21.75" customHeight="1">
      <c r="A85" s="198"/>
      <c r="B85" s="82" t="s">
        <v>514</v>
      </c>
      <c r="C85" s="83">
        <v>940892</v>
      </c>
      <c r="D85" s="83">
        <v>174032</v>
      </c>
      <c r="E85" s="199" t="s">
        <v>169</v>
      </c>
      <c r="F85" s="83">
        <f>C85-D85</f>
        <v>766860</v>
      </c>
    </row>
    <row r="86" spans="1:6" ht="21.75" customHeight="1">
      <c r="A86" s="198"/>
      <c r="B86" s="82" t="s">
        <v>515</v>
      </c>
      <c r="C86" s="83">
        <v>72613</v>
      </c>
      <c r="D86" s="83">
        <v>72612.33</v>
      </c>
      <c r="E86" s="199" t="s">
        <v>169</v>
      </c>
      <c r="F86" s="83">
        <f>C86-D86</f>
        <v>0.6699999999982538</v>
      </c>
    </row>
    <row r="87" spans="1:8" ht="21.75" customHeight="1">
      <c r="A87" s="198"/>
      <c r="B87" s="82" t="s">
        <v>516</v>
      </c>
      <c r="C87" s="83">
        <v>200000</v>
      </c>
      <c r="D87" s="83">
        <v>174500</v>
      </c>
      <c r="E87" s="106" t="s">
        <v>169</v>
      </c>
      <c r="F87" s="83">
        <f>C87-D87</f>
        <v>25500</v>
      </c>
      <c r="H87" s="95"/>
    </row>
    <row r="88" spans="1:8" ht="21.75" customHeight="1">
      <c r="A88" s="198"/>
      <c r="B88" s="204" t="s">
        <v>9</v>
      </c>
      <c r="C88" s="90">
        <f>SUM(C85:C87)</f>
        <v>1213505</v>
      </c>
      <c r="D88" s="90">
        <f>SUM(D85:D87)</f>
        <v>421144.33</v>
      </c>
      <c r="E88" s="90">
        <f>SUM(E85:E87)</f>
        <v>0</v>
      </c>
      <c r="F88" s="90">
        <f>SUM(F85:F87)</f>
        <v>792360.67</v>
      </c>
      <c r="H88" s="95"/>
    </row>
    <row r="89" spans="1:6" ht="21.75" customHeight="1">
      <c r="A89" s="198"/>
      <c r="B89" s="82" t="s">
        <v>517</v>
      </c>
      <c r="C89" s="83">
        <v>3522500</v>
      </c>
      <c r="D89" s="83">
        <v>3113035</v>
      </c>
      <c r="E89" s="106" t="s">
        <v>169</v>
      </c>
      <c r="F89" s="83">
        <f aca="true" t="shared" si="1" ref="F89:F95">C89-D89</f>
        <v>409465</v>
      </c>
    </row>
    <row r="90" spans="1:6" ht="21.75" customHeight="1">
      <c r="A90" s="80"/>
      <c r="B90" s="82" t="s">
        <v>518</v>
      </c>
      <c r="C90" s="83">
        <v>574900</v>
      </c>
      <c r="D90" s="83">
        <v>372340</v>
      </c>
      <c r="E90" s="199" t="s">
        <v>169</v>
      </c>
      <c r="F90" s="83">
        <f t="shared" si="1"/>
        <v>202560</v>
      </c>
    </row>
    <row r="91" spans="1:6" ht="21.75" customHeight="1">
      <c r="A91" s="80"/>
      <c r="B91" s="82" t="s">
        <v>519</v>
      </c>
      <c r="C91" s="83">
        <v>3856888</v>
      </c>
      <c r="D91" s="83">
        <v>3186565.3</v>
      </c>
      <c r="E91" s="106" t="s">
        <v>169</v>
      </c>
      <c r="F91" s="83">
        <f t="shared" si="1"/>
        <v>670322.7000000002</v>
      </c>
    </row>
    <row r="92" spans="1:6" ht="21.75" customHeight="1">
      <c r="A92" s="80"/>
      <c r="B92" s="82" t="s">
        <v>520</v>
      </c>
      <c r="C92" s="83">
        <v>132483</v>
      </c>
      <c r="D92" s="83">
        <v>114913.94</v>
      </c>
      <c r="E92" s="199" t="s">
        <v>169</v>
      </c>
      <c r="F92" s="83">
        <f t="shared" si="1"/>
        <v>17569.059999999998</v>
      </c>
    </row>
    <row r="93" spans="1:6" ht="21.75" customHeight="1">
      <c r="A93" s="80"/>
      <c r="B93" s="82" t="s">
        <v>521</v>
      </c>
      <c r="C93" s="83">
        <v>1780759</v>
      </c>
      <c r="D93" s="83">
        <v>1568246.32</v>
      </c>
      <c r="E93" s="106" t="s">
        <v>169</v>
      </c>
      <c r="F93" s="83">
        <f t="shared" si="1"/>
        <v>212512.67999999993</v>
      </c>
    </row>
    <row r="94" spans="1:6" ht="21.75" customHeight="1">
      <c r="A94" s="80"/>
      <c r="B94" s="82" t="s">
        <v>522</v>
      </c>
      <c r="C94" s="83">
        <v>20000</v>
      </c>
      <c r="D94" s="83">
        <v>20000</v>
      </c>
      <c r="E94" s="106"/>
      <c r="F94" s="83">
        <f t="shared" si="1"/>
        <v>0</v>
      </c>
    </row>
    <row r="95" spans="1:6" ht="21.75" customHeight="1">
      <c r="A95" s="80"/>
      <c r="B95" s="204" t="s">
        <v>9</v>
      </c>
      <c r="C95" s="90">
        <f>SUM(C89:C94)</f>
        <v>9887530</v>
      </c>
      <c r="D95" s="90">
        <f>SUM(D89:D94)</f>
        <v>8375100.5600000005</v>
      </c>
      <c r="E95" s="90">
        <f>SUM(E89:E93)</f>
        <v>0</v>
      </c>
      <c r="F95" s="90">
        <f t="shared" si="1"/>
        <v>1512429.4399999995</v>
      </c>
    </row>
    <row r="96" spans="1:6" ht="21.75" customHeight="1">
      <c r="A96" s="112" t="s">
        <v>523</v>
      </c>
      <c r="B96" s="82"/>
      <c r="C96" s="83"/>
      <c r="D96" s="83"/>
      <c r="E96" s="132"/>
      <c r="F96" s="83"/>
    </row>
    <row r="97" spans="1:6" ht="21.75" customHeight="1">
      <c r="A97" s="112"/>
      <c r="B97" s="82" t="s">
        <v>524</v>
      </c>
      <c r="C97" s="83">
        <v>4447680</v>
      </c>
      <c r="D97" s="83">
        <v>1536930</v>
      </c>
      <c r="E97" s="136" t="s">
        <v>169</v>
      </c>
      <c r="F97" s="83">
        <f>C97-D97</f>
        <v>2910750</v>
      </c>
    </row>
    <row r="98" spans="1:6" ht="21.75" customHeight="1">
      <c r="A98" s="80"/>
      <c r="B98" s="204" t="s">
        <v>9</v>
      </c>
      <c r="C98" s="90">
        <f>SUM(C97)</f>
        <v>4447680</v>
      </c>
      <c r="D98" s="90">
        <f>SUM(D97)</f>
        <v>1536930</v>
      </c>
      <c r="E98" s="90">
        <f>SUM(E97)</f>
        <v>0</v>
      </c>
      <c r="F98" s="90">
        <f>SUM(F97)</f>
        <v>2910750</v>
      </c>
    </row>
    <row r="99" spans="1:6" ht="21.75" customHeight="1">
      <c r="A99" s="84"/>
      <c r="B99" s="180" t="s">
        <v>525</v>
      </c>
      <c r="C99" s="90">
        <f>C88+C95+C98</f>
        <v>15548715</v>
      </c>
      <c r="D99" s="90">
        <f>D88+D95+D98</f>
        <v>10333174.89</v>
      </c>
      <c r="E99" s="90">
        <f>E88+E95+E98</f>
        <v>0</v>
      </c>
      <c r="F99" s="90">
        <f>F88+F95+F98</f>
        <v>5215540.109999999</v>
      </c>
    </row>
    <row r="100" spans="2:6" ht="21.75" customHeight="1">
      <c r="B100" s="81"/>
      <c r="C100" s="108"/>
      <c r="D100" s="108"/>
      <c r="E100" s="223"/>
      <c r="F100" s="108"/>
    </row>
    <row r="101" spans="2:6" ht="21.75" customHeight="1">
      <c r="B101" s="81"/>
      <c r="C101" s="108"/>
      <c r="D101" s="108"/>
      <c r="E101" s="223"/>
      <c r="F101" s="108"/>
    </row>
    <row r="102" spans="1:7" ht="21.75" customHeight="1">
      <c r="A102" s="217" t="s">
        <v>508</v>
      </c>
      <c r="B102" s="217"/>
      <c r="C102" s="217"/>
      <c r="D102" s="217"/>
      <c r="E102" s="217"/>
      <c r="F102" s="217"/>
      <c r="G102" s="209"/>
    </row>
    <row r="103" spans="2:6" ht="36" customHeight="1">
      <c r="B103" s="154"/>
      <c r="C103" s="108"/>
      <c r="D103" s="108"/>
      <c r="E103" s="210"/>
      <c r="F103" s="108"/>
    </row>
    <row r="104" spans="1:7" ht="21.75" customHeight="1">
      <c r="A104" s="49" t="s">
        <v>495</v>
      </c>
      <c r="B104" s="154"/>
      <c r="C104" s="209"/>
      <c r="D104" s="209"/>
      <c r="E104" s="209"/>
      <c r="F104" s="209"/>
      <c r="G104" s="209"/>
    </row>
    <row r="105" spans="1:7" ht="21.75" customHeight="1">
      <c r="A105" s="49" t="s">
        <v>496</v>
      </c>
      <c r="B105" s="154"/>
      <c r="C105" s="209"/>
      <c r="D105" s="209"/>
      <c r="E105" s="211"/>
      <c r="F105" s="211"/>
      <c r="G105" s="211"/>
    </row>
    <row r="106" spans="5:7" ht="21.75" customHeight="1">
      <c r="E106" s="369"/>
      <c r="F106" s="369"/>
      <c r="G106" s="369"/>
    </row>
  </sheetData>
  <mergeCells count="21">
    <mergeCell ref="E106:G106"/>
    <mergeCell ref="A78:F78"/>
    <mergeCell ref="A79:F79"/>
    <mergeCell ref="A80:B81"/>
    <mergeCell ref="C80:C81"/>
    <mergeCell ref="D80:D81"/>
    <mergeCell ref="A57:B57"/>
    <mergeCell ref="E63:G63"/>
    <mergeCell ref="A76:G76"/>
    <mergeCell ref="A77:F77"/>
    <mergeCell ref="E39:G39"/>
    <mergeCell ref="A40:G40"/>
    <mergeCell ref="A41:B42"/>
    <mergeCell ref="C41:C42"/>
    <mergeCell ref="D41:D42"/>
    <mergeCell ref="A1:F1"/>
    <mergeCell ref="A2:F2"/>
    <mergeCell ref="A3:F3"/>
    <mergeCell ref="A4:B5"/>
    <mergeCell ref="C4:C5"/>
    <mergeCell ref="D4:D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workbookViewId="0" topLeftCell="A1">
      <selection activeCell="A11" sqref="A11"/>
    </sheetView>
  </sheetViews>
  <sheetFormatPr defaultColWidth="9.140625" defaultRowHeight="12.75"/>
  <cols>
    <col min="1" max="1" width="35.421875" style="49" customWidth="1"/>
    <col min="2" max="2" width="27.8515625" style="49" customWidth="1"/>
    <col min="3" max="4" width="17.7109375" style="49" customWidth="1"/>
    <col min="5" max="16384" width="9.140625" style="49" customWidth="1"/>
  </cols>
  <sheetData>
    <row r="1" spans="1:4" ht="23.25">
      <c r="A1" s="328" t="s">
        <v>537</v>
      </c>
      <c r="B1" s="328"/>
      <c r="C1" s="328"/>
      <c r="D1" s="328"/>
    </row>
    <row r="2" spans="1:4" ht="23.25">
      <c r="A2" s="321" t="s">
        <v>504</v>
      </c>
      <c r="B2" s="321"/>
      <c r="C2" s="321"/>
      <c r="D2" s="321"/>
    </row>
    <row r="4" spans="1:4" s="194" customFormat="1" ht="23.25">
      <c r="A4" s="167" t="s">
        <v>26</v>
      </c>
      <c r="B4" s="167" t="s">
        <v>2</v>
      </c>
      <c r="C4" s="167" t="s">
        <v>3</v>
      </c>
      <c r="D4" s="167" t="s">
        <v>4</v>
      </c>
    </row>
    <row r="5" spans="1:4" ht="23.25">
      <c r="A5" s="174" t="s">
        <v>533</v>
      </c>
      <c r="B5" s="163">
        <v>2607000</v>
      </c>
      <c r="C5" s="163">
        <v>2517500</v>
      </c>
      <c r="D5" s="225">
        <f>B5-C5</f>
        <v>89500</v>
      </c>
    </row>
    <row r="6" spans="1:4" ht="23.25">
      <c r="A6" s="164" t="s">
        <v>534</v>
      </c>
      <c r="B6" s="102">
        <v>1144000</v>
      </c>
      <c r="C6" s="102">
        <v>1081000</v>
      </c>
      <c r="D6" s="226">
        <f>B6-C6</f>
        <v>63000</v>
      </c>
    </row>
    <row r="7" spans="1:4" ht="23.25">
      <c r="A7" s="164" t="s">
        <v>535</v>
      </c>
      <c r="B7" s="102">
        <v>201852</v>
      </c>
      <c r="C7" s="102">
        <v>201852</v>
      </c>
      <c r="D7" s="226">
        <f>B7-C7</f>
        <v>0</v>
      </c>
    </row>
    <row r="8" spans="1:4" ht="23.25">
      <c r="A8" s="164" t="s">
        <v>536</v>
      </c>
      <c r="B8" s="102">
        <v>11395</v>
      </c>
      <c r="C8" s="102">
        <v>11395</v>
      </c>
      <c r="D8" s="226">
        <f>B8-C8</f>
        <v>0</v>
      </c>
    </row>
    <row r="9" spans="1:4" ht="23.25">
      <c r="A9" s="164"/>
      <c r="B9" s="102"/>
      <c r="C9" s="102"/>
      <c r="D9" s="164"/>
    </row>
    <row r="10" spans="1:4" ht="23.25">
      <c r="A10" s="164"/>
      <c r="B10" s="102"/>
      <c r="C10" s="102"/>
      <c r="D10" s="164"/>
    </row>
    <row r="11" spans="1:4" ht="23.25">
      <c r="A11" s="165"/>
      <c r="B11" s="166"/>
      <c r="C11" s="166"/>
      <c r="D11" s="169"/>
    </row>
    <row r="12" spans="1:4" s="159" customFormat="1" ht="23.25">
      <c r="A12" s="167" t="s">
        <v>9</v>
      </c>
      <c r="B12" s="103">
        <f>SUM(B5:B10)</f>
        <v>3964247</v>
      </c>
      <c r="C12" s="103">
        <f>SUM(C5:C10)</f>
        <v>3811747</v>
      </c>
      <c r="D12" s="103">
        <f>SUM(D5:D10)</f>
        <v>152500</v>
      </c>
    </row>
    <row r="14" spans="1:4" ht="23.25">
      <c r="A14" s="154" t="s">
        <v>243</v>
      </c>
      <c r="B14" s="154" t="s">
        <v>244</v>
      </c>
      <c r="C14" s="328" t="s">
        <v>244</v>
      </c>
      <c r="D14" s="328"/>
    </row>
    <row r="16" spans="1:4" ht="23.25">
      <c r="A16" s="154" t="s">
        <v>241</v>
      </c>
      <c r="B16" s="154" t="s">
        <v>242</v>
      </c>
      <c r="C16" s="328" t="s">
        <v>289</v>
      </c>
      <c r="D16" s="328"/>
    </row>
    <row r="17" spans="1:4" ht="23.25">
      <c r="A17" s="154" t="s">
        <v>11</v>
      </c>
      <c r="B17" s="154" t="s">
        <v>12</v>
      </c>
      <c r="C17" s="328" t="s">
        <v>362</v>
      </c>
      <c r="D17" s="328"/>
    </row>
  </sheetData>
  <mergeCells count="5">
    <mergeCell ref="A1:D1"/>
    <mergeCell ref="C14:D14"/>
    <mergeCell ref="C16:D16"/>
    <mergeCell ref="C17:D17"/>
    <mergeCell ref="A2:D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13.8515625" style="0" customWidth="1"/>
    <col min="4" max="4" width="5.7109375" style="0" customWidth="1"/>
    <col min="5" max="5" width="13.7109375" style="0" customWidth="1"/>
    <col min="6" max="6" width="5.7109375" style="0" customWidth="1"/>
    <col min="7" max="7" width="13.8515625" style="0" customWidth="1"/>
    <col min="8" max="8" width="5.7109375" style="0" customWidth="1"/>
    <col min="9" max="9" width="13.8515625" style="0" customWidth="1"/>
    <col min="10" max="10" width="5.7109375" style="0" customWidth="1"/>
    <col min="11" max="11" width="30.140625" style="0" customWidth="1"/>
    <col min="12" max="12" width="13.8515625" style="0" customWidth="1"/>
    <col min="13" max="13" width="5.7109375" style="0" customWidth="1"/>
  </cols>
  <sheetData>
    <row r="1" spans="1:13" ht="26.25">
      <c r="A1" s="297" t="s">
        <v>538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23.25">
      <c r="A2" s="350" t="s">
        <v>539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ht="23.25">
      <c r="A3" s="372" t="s">
        <v>567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ht="12.75">
      <c r="A4" s="373" t="s">
        <v>540</v>
      </c>
      <c r="B4" s="374"/>
      <c r="C4" s="373" t="s">
        <v>541</v>
      </c>
      <c r="D4" s="374"/>
      <c r="E4" s="373" t="s">
        <v>542</v>
      </c>
      <c r="F4" s="374"/>
      <c r="G4" s="373" t="s">
        <v>543</v>
      </c>
      <c r="H4" s="374"/>
      <c r="I4" s="373" t="s">
        <v>544</v>
      </c>
      <c r="J4" s="374"/>
      <c r="K4" s="352" t="s">
        <v>545</v>
      </c>
      <c r="L4" s="373" t="s">
        <v>546</v>
      </c>
      <c r="M4" s="374"/>
    </row>
    <row r="5" spans="1:13" ht="12.75">
      <c r="A5" s="375"/>
      <c r="B5" s="376"/>
      <c r="C5" s="375"/>
      <c r="D5" s="376"/>
      <c r="E5" s="375"/>
      <c r="F5" s="376"/>
      <c r="G5" s="375"/>
      <c r="H5" s="376"/>
      <c r="I5" s="375"/>
      <c r="J5" s="376"/>
      <c r="K5" s="354"/>
      <c r="L5" s="375"/>
      <c r="M5" s="376"/>
    </row>
    <row r="6" spans="1:13" ht="23.25">
      <c r="A6" s="41"/>
      <c r="B6" s="64"/>
      <c r="C6" s="10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23.25">
      <c r="A7" s="41" t="s">
        <v>547</v>
      </c>
      <c r="B7" s="61"/>
      <c r="C7" s="23"/>
      <c r="D7" s="227"/>
      <c r="E7" s="227"/>
      <c r="F7" s="227"/>
      <c r="G7" s="227"/>
      <c r="H7" s="227"/>
      <c r="I7" s="227"/>
      <c r="J7" s="227"/>
      <c r="K7" s="61" t="s">
        <v>548</v>
      </c>
      <c r="L7" s="227">
        <v>7356581</v>
      </c>
      <c r="M7" s="228" t="s">
        <v>169</v>
      </c>
    </row>
    <row r="8" spans="1:13" ht="23.25">
      <c r="A8" s="41"/>
      <c r="B8" s="61" t="s">
        <v>236</v>
      </c>
      <c r="C8" s="23">
        <v>0</v>
      </c>
      <c r="D8" s="227">
        <v>0</v>
      </c>
      <c r="E8" s="227">
        <v>0</v>
      </c>
      <c r="F8" s="228" t="s">
        <v>169</v>
      </c>
      <c r="G8" s="228" t="s">
        <v>169</v>
      </c>
      <c r="H8" s="228" t="s">
        <v>169</v>
      </c>
      <c r="I8" s="227">
        <f>SUM(C8:E8)</f>
        <v>0</v>
      </c>
      <c r="J8" s="228" t="s">
        <v>169</v>
      </c>
      <c r="K8" s="61"/>
      <c r="L8" s="227"/>
      <c r="M8" s="227"/>
    </row>
    <row r="9" spans="1:13" ht="23.25">
      <c r="A9" s="41"/>
      <c r="B9" s="61" t="s">
        <v>549</v>
      </c>
      <c r="C9" s="23">
        <v>2919951</v>
      </c>
      <c r="D9" s="227">
        <v>0</v>
      </c>
      <c r="E9" s="227">
        <v>0</v>
      </c>
      <c r="F9" s="228" t="s">
        <v>169</v>
      </c>
      <c r="G9" s="228" t="s">
        <v>169</v>
      </c>
      <c r="H9" s="228" t="s">
        <v>169</v>
      </c>
      <c r="I9" s="227">
        <f>SUM(C9:E9)</f>
        <v>2919951</v>
      </c>
      <c r="J9" s="228" t="s">
        <v>169</v>
      </c>
      <c r="K9" s="61" t="s">
        <v>550</v>
      </c>
      <c r="L9" s="227">
        <v>24000</v>
      </c>
      <c r="M9" s="228" t="s">
        <v>169</v>
      </c>
    </row>
    <row r="10" spans="1:13" ht="23.25">
      <c r="A10" s="41"/>
      <c r="B10" s="61" t="s">
        <v>551</v>
      </c>
      <c r="C10" s="23">
        <v>770000</v>
      </c>
      <c r="D10" s="227">
        <v>0</v>
      </c>
      <c r="E10" s="227">
        <v>0</v>
      </c>
      <c r="F10" s="228">
        <v>0</v>
      </c>
      <c r="G10" s="228" t="s">
        <v>169</v>
      </c>
      <c r="H10" s="228">
        <v>0</v>
      </c>
      <c r="I10" s="227">
        <f>SUM(C10:E10)</f>
        <v>770000</v>
      </c>
      <c r="J10" s="228"/>
      <c r="K10" s="61"/>
      <c r="L10" s="227"/>
      <c r="M10" s="228"/>
    </row>
    <row r="11" spans="1:13" ht="23.25">
      <c r="A11" s="41"/>
      <c r="B11" s="61" t="s">
        <v>552</v>
      </c>
      <c r="C11" s="23">
        <v>41000</v>
      </c>
      <c r="D11" s="227">
        <v>0</v>
      </c>
      <c r="E11" s="227">
        <v>0</v>
      </c>
      <c r="F11" s="227">
        <v>0</v>
      </c>
      <c r="G11" s="228" t="s">
        <v>169</v>
      </c>
      <c r="H11" s="227">
        <v>0</v>
      </c>
      <c r="I11" s="227">
        <f>SUM(C11:E11)</f>
        <v>41000</v>
      </c>
      <c r="J11" s="227"/>
      <c r="K11" s="61"/>
      <c r="L11" s="227"/>
      <c r="M11" s="227"/>
    </row>
    <row r="12" spans="1:13" ht="23.25">
      <c r="A12" s="41" t="s">
        <v>553</v>
      </c>
      <c r="B12" s="61" t="s">
        <v>554</v>
      </c>
      <c r="C12" s="23"/>
      <c r="D12" s="227"/>
      <c r="E12" s="227"/>
      <c r="F12" s="227"/>
      <c r="G12" s="227"/>
      <c r="H12" s="227"/>
      <c r="I12" s="227"/>
      <c r="J12" s="227"/>
      <c r="K12" s="61" t="s">
        <v>555</v>
      </c>
      <c r="L12" s="227">
        <v>0</v>
      </c>
      <c r="M12" s="227">
        <v>0</v>
      </c>
    </row>
    <row r="13" spans="1:13" ht="23.25">
      <c r="A13" s="41"/>
      <c r="B13" s="61" t="s">
        <v>556</v>
      </c>
      <c r="C13" s="23">
        <v>1562200</v>
      </c>
      <c r="D13" s="228" t="s">
        <v>169</v>
      </c>
      <c r="E13" s="227">
        <v>14430</v>
      </c>
      <c r="F13" s="228" t="s">
        <v>169</v>
      </c>
      <c r="G13" s="228">
        <v>0</v>
      </c>
      <c r="H13" s="228" t="s">
        <v>169</v>
      </c>
      <c r="I13" s="227">
        <f>C13+E13-G13</f>
        <v>1576630</v>
      </c>
      <c r="J13" s="228" t="s">
        <v>169</v>
      </c>
      <c r="K13" s="61"/>
      <c r="L13" s="227"/>
      <c r="M13" s="227"/>
    </row>
    <row r="14" spans="1:13" ht="23.25">
      <c r="A14" s="41"/>
      <c r="B14" s="61" t="s">
        <v>557</v>
      </c>
      <c r="C14" s="23">
        <v>134650</v>
      </c>
      <c r="D14" s="228" t="s">
        <v>169</v>
      </c>
      <c r="E14" s="227">
        <v>0</v>
      </c>
      <c r="F14" s="228" t="s">
        <v>169</v>
      </c>
      <c r="G14" s="228" t="s">
        <v>169</v>
      </c>
      <c r="H14" s="228" t="s">
        <v>169</v>
      </c>
      <c r="I14" s="227">
        <f aca="true" t="shared" si="0" ref="I14:I23">SUM(C14:E14)</f>
        <v>134650</v>
      </c>
      <c r="J14" s="228" t="s">
        <v>169</v>
      </c>
      <c r="K14" s="61"/>
      <c r="L14" s="227"/>
      <c r="M14" s="227"/>
    </row>
    <row r="15" spans="1:13" ht="23.25">
      <c r="A15" s="41"/>
      <c r="B15" s="61" t="s">
        <v>558</v>
      </c>
      <c r="C15" s="23">
        <v>128500</v>
      </c>
      <c r="D15" s="228" t="s">
        <v>169</v>
      </c>
      <c r="E15" s="227">
        <v>0</v>
      </c>
      <c r="F15" s="228" t="s">
        <v>169</v>
      </c>
      <c r="G15" s="228">
        <v>0</v>
      </c>
      <c r="H15" s="228" t="s">
        <v>169</v>
      </c>
      <c r="I15" s="227">
        <f>C15+E15-G15</f>
        <v>128500</v>
      </c>
      <c r="J15" s="228" t="s">
        <v>169</v>
      </c>
      <c r="K15" s="61"/>
      <c r="L15" s="227"/>
      <c r="M15" s="227"/>
    </row>
    <row r="16" spans="1:13" ht="23.25">
      <c r="A16" s="41"/>
      <c r="B16" s="61" t="s">
        <v>559</v>
      </c>
      <c r="C16" s="23">
        <v>219500</v>
      </c>
      <c r="D16" s="228" t="s">
        <v>169</v>
      </c>
      <c r="E16" s="227">
        <v>699000</v>
      </c>
      <c r="F16" s="228" t="s">
        <v>169</v>
      </c>
      <c r="G16" s="228" t="s">
        <v>169</v>
      </c>
      <c r="H16" s="228" t="s">
        <v>169</v>
      </c>
      <c r="I16" s="227">
        <f t="shared" si="0"/>
        <v>918500</v>
      </c>
      <c r="J16" s="228" t="s">
        <v>169</v>
      </c>
      <c r="K16" s="61"/>
      <c r="L16" s="227"/>
      <c r="M16" s="227"/>
    </row>
    <row r="17" spans="1:13" ht="23.25">
      <c r="A17" s="41"/>
      <c r="B17" s="61" t="s">
        <v>560</v>
      </c>
      <c r="C17" s="23">
        <v>17300</v>
      </c>
      <c r="D17" s="227">
        <v>0</v>
      </c>
      <c r="E17" s="227">
        <v>0</v>
      </c>
      <c r="F17" s="227"/>
      <c r="G17" s="228" t="s">
        <v>169</v>
      </c>
      <c r="H17" s="227">
        <v>0</v>
      </c>
      <c r="I17" s="227">
        <f t="shared" si="0"/>
        <v>17300</v>
      </c>
      <c r="J17" s="228" t="s">
        <v>169</v>
      </c>
      <c r="K17" s="61"/>
      <c r="L17" s="227"/>
      <c r="M17" s="227"/>
    </row>
    <row r="18" spans="1:13" ht="23.25">
      <c r="A18" s="41"/>
      <c r="B18" s="61" t="s">
        <v>561</v>
      </c>
      <c r="C18" s="23">
        <v>332000</v>
      </c>
      <c r="D18" s="227">
        <v>0</v>
      </c>
      <c r="E18" s="227">
        <v>14000</v>
      </c>
      <c r="F18" s="227">
        <v>0</v>
      </c>
      <c r="G18" s="228" t="s">
        <v>169</v>
      </c>
      <c r="H18" s="227">
        <v>0</v>
      </c>
      <c r="I18" s="227">
        <f t="shared" si="0"/>
        <v>346000</v>
      </c>
      <c r="J18" s="228" t="s">
        <v>169</v>
      </c>
      <c r="K18" s="61"/>
      <c r="L18" s="227"/>
      <c r="M18" s="227"/>
    </row>
    <row r="19" spans="1:13" ht="23.25">
      <c r="A19" s="41"/>
      <c r="B19" s="61" t="s">
        <v>562</v>
      </c>
      <c r="C19" s="23">
        <v>116000</v>
      </c>
      <c r="D19" s="227">
        <v>0</v>
      </c>
      <c r="E19" s="227">
        <v>7500</v>
      </c>
      <c r="F19" s="227">
        <v>0</v>
      </c>
      <c r="G19" s="228" t="s">
        <v>169</v>
      </c>
      <c r="H19" s="227">
        <v>0</v>
      </c>
      <c r="I19" s="227">
        <f t="shared" si="0"/>
        <v>123500</v>
      </c>
      <c r="J19" s="228" t="s">
        <v>169</v>
      </c>
      <c r="K19" s="61"/>
      <c r="L19" s="227"/>
      <c r="M19" s="227"/>
    </row>
    <row r="20" spans="1:13" ht="23.25">
      <c r="A20" s="41"/>
      <c r="B20" s="61" t="s">
        <v>563</v>
      </c>
      <c r="C20" s="23">
        <v>148100</v>
      </c>
      <c r="D20" s="227">
        <v>0</v>
      </c>
      <c r="E20" s="227">
        <v>0</v>
      </c>
      <c r="F20" s="227"/>
      <c r="G20" s="228" t="s">
        <v>169</v>
      </c>
      <c r="H20" s="227">
        <v>0</v>
      </c>
      <c r="I20" s="227">
        <f t="shared" si="0"/>
        <v>148100</v>
      </c>
      <c r="J20" s="228" t="s">
        <v>169</v>
      </c>
      <c r="K20" s="61"/>
      <c r="L20" s="227"/>
      <c r="M20" s="227"/>
    </row>
    <row r="21" spans="1:13" ht="23.25">
      <c r="A21" s="41"/>
      <c r="B21" s="61" t="s">
        <v>564</v>
      </c>
      <c r="C21" s="23">
        <v>38950</v>
      </c>
      <c r="D21" s="227">
        <v>0</v>
      </c>
      <c r="E21" s="227">
        <v>0</v>
      </c>
      <c r="F21" s="227">
        <v>0</v>
      </c>
      <c r="G21" s="228" t="s">
        <v>169</v>
      </c>
      <c r="H21" s="227">
        <v>0</v>
      </c>
      <c r="I21" s="227">
        <f t="shared" si="0"/>
        <v>38950</v>
      </c>
      <c r="J21" s="228">
        <v>0</v>
      </c>
      <c r="K21" s="61"/>
      <c r="L21" s="227"/>
      <c r="M21" s="227"/>
    </row>
    <row r="22" spans="1:13" ht="23.25">
      <c r="A22" s="41"/>
      <c r="B22" s="61" t="s">
        <v>565</v>
      </c>
      <c r="C22" s="23">
        <v>149500</v>
      </c>
      <c r="D22" s="227">
        <v>0</v>
      </c>
      <c r="E22" s="227">
        <v>0</v>
      </c>
      <c r="F22" s="227">
        <v>0</v>
      </c>
      <c r="G22" s="228" t="s">
        <v>169</v>
      </c>
      <c r="H22" s="227">
        <v>0</v>
      </c>
      <c r="I22" s="227">
        <f t="shared" si="0"/>
        <v>149500</v>
      </c>
      <c r="J22" s="227">
        <v>0</v>
      </c>
      <c r="K22" s="61"/>
      <c r="L22" s="227"/>
      <c r="M22" s="227"/>
    </row>
    <row r="23" spans="1:13" ht="23.25">
      <c r="A23" s="41"/>
      <c r="B23" s="61" t="s">
        <v>568</v>
      </c>
      <c r="C23" s="23">
        <v>0</v>
      </c>
      <c r="D23" s="227">
        <v>0</v>
      </c>
      <c r="E23" s="227">
        <v>68000</v>
      </c>
      <c r="F23" s="227">
        <v>0</v>
      </c>
      <c r="G23" s="228">
        <v>0</v>
      </c>
      <c r="H23" s="227"/>
      <c r="I23" s="227">
        <f t="shared" si="0"/>
        <v>68000</v>
      </c>
      <c r="J23" s="227">
        <v>0</v>
      </c>
      <c r="K23" s="61"/>
      <c r="L23" s="227"/>
      <c r="M23" s="227"/>
    </row>
    <row r="24" spans="1:13" ht="24" thickBot="1">
      <c r="A24" s="41"/>
      <c r="B24" s="61"/>
      <c r="C24" s="39">
        <f>SUM(C8:C23)</f>
        <v>6577651</v>
      </c>
      <c r="D24" s="39">
        <f>SUM(D8:D23)</f>
        <v>0</v>
      </c>
      <c r="E24" s="39">
        <f>SUM(E8:E23)</f>
        <v>802930</v>
      </c>
      <c r="F24" s="39">
        <f>SUM(F8:F20)</f>
        <v>0</v>
      </c>
      <c r="G24" s="39">
        <f>SUM(G8:G20)</f>
        <v>0</v>
      </c>
      <c r="H24" s="39">
        <f>SUM(H8:H22)</f>
        <v>0</v>
      </c>
      <c r="I24" s="39">
        <f>SUM(I8:I23)</f>
        <v>7380581</v>
      </c>
      <c r="J24" s="39">
        <f>SUM(J8:J20)</f>
        <v>0</v>
      </c>
      <c r="K24" s="61"/>
      <c r="L24" s="39">
        <f>SUM(L7:L11)</f>
        <v>7380581</v>
      </c>
      <c r="M24" s="229" t="s">
        <v>169</v>
      </c>
    </row>
    <row r="25" spans="1:13" ht="12" customHeight="1" thickTop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23.25">
      <c r="A26" s="6"/>
      <c r="B26" s="60" t="s">
        <v>243</v>
      </c>
      <c r="C26" s="6"/>
      <c r="D26" s="6"/>
      <c r="E26" s="293" t="s">
        <v>244</v>
      </c>
      <c r="F26" s="293"/>
      <c r="G26" s="293"/>
      <c r="H26" s="6"/>
      <c r="I26" s="6"/>
      <c r="J26" s="6"/>
      <c r="K26" s="293" t="s">
        <v>244</v>
      </c>
      <c r="L26" s="293"/>
      <c r="M26" s="6"/>
    </row>
    <row r="27" spans="1:13" ht="23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3.25">
      <c r="A28" s="293" t="s">
        <v>241</v>
      </c>
      <c r="B28" s="293"/>
      <c r="C28" s="6"/>
      <c r="D28" s="293" t="s">
        <v>242</v>
      </c>
      <c r="E28" s="293"/>
      <c r="F28" s="293"/>
      <c r="G28" s="293"/>
      <c r="H28" s="6"/>
      <c r="I28" s="6"/>
      <c r="J28" s="6"/>
      <c r="K28" s="293" t="s">
        <v>289</v>
      </c>
      <c r="L28" s="293"/>
      <c r="M28" s="6"/>
    </row>
    <row r="29" spans="1:13" ht="23.25">
      <c r="A29" s="293" t="s">
        <v>11</v>
      </c>
      <c r="B29" s="293"/>
      <c r="C29" s="6"/>
      <c r="D29" s="293" t="s">
        <v>566</v>
      </c>
      <c r="E29" s="293"/>
      <c r="F29" s="293"/>
      <c r="G29" s="293"/>
      <c r="H29" s="6"/>
      <c r="I29" s="6"/>
      <c r="J29" s="6"/>
      <c r="K29" s="293" t="s">
        <v>290</v>
      </c>
      <c r="L29" s="293"/>
      <c r="M29" s="6"/>
    </row>
    <row r="30" spans="1:13" ht="23.25">
      <c r="A30" s="6"/>
      <c r="B30" s="6"/>
      <c r="C30" s="6"/>
      <c r="D30" s="6"/>
      <c r="E30" s="6"/>
      <c r="F30" s="6"/>
      <c r="G30" s="6"/>
      <c r="H30" s="6"/>
      <c r="I30" s="6"/>
      <c r="J30" s="6"/>
      <c r="K30" s="293"/>
      <c r="L30" s="293"/>
      <c r="M30" s="6"/>
    </row>
    <row r="31" spans="1:13" ht="23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23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23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23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mergeCells count="19">
    <mergeCell ref="A1:M1"/>
    <mergeCell ref="A2:M2"/>
    <mergeCell ref="A3:M3"/>
    <mergeCell ref="A4:B5"/>
    <mergeCell ref="C4:D5"/>
    <mergeCell ref="E4:F5"/>
    <mergeCell ref="G4:H5"/>
    <mergeCell ref="I4:J5"/>
    <mergeCell ref="K4:K5"/>
    <mergeCell ref="L4:M5"/>
    <mergeCell ref="E26:G26"/>
    <mergeCell ref="K26:L26"/>
    <mergeCell ref="A28:B28"/>
    <mergeCell ref="D28:G28"/>
    <mergeCell ref="K28:L28"/>
    <mergeCell ref="A29:B29"/>
    <mergeCell ref="D29:G29"/>
    <mergeCell ref="K29:L29"/>
    <mergeCell ref="K30:L3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workbookViewId="0" topLeftCell="A1">
      <selection activeCell="D17" sqref="D17"/>
    </sheetView>
  </sheetViews>
  <sheetFormatPr defaultColWidth="9.140625" defaultRowHeight="12.75"/>
  <cols>
    <col min="1" max="1" width="34.57421875" style="6" customWidth="1"/>
    <col min="2" max="2" width="16.57421875" style="231" customWidth="1"/>
    <col min="3" max="3" width="5.7109375" style="60" customWidth="1"/>
    <col min="4" max="4" width="15.8515625" style="231" customWidth="1"/>
    <col min="5" max="5" width="5.7109375" style="232" customWidth="1"/>
    <col min="6" max="6" width="32.7109375" style="6" customWidth="1"/>
    <col min="7" max="7" width="13.140625" style="231" customWidth="1"/>
    <col min="8" max="8" width="5.7109375" style="6" customWidth="1"/>
    <col min="9" max="9" width="17.28125" style="231" customWidth="1"/>
    <col min="10" max="10" width="5.7109375" style="6" customWidth="1"/>
    <col min="11" max="16384" width="9.140625" style="6" customWidth="1"/>
  </cols>
  <sheetData>
    <row r="1" spans="1:10" ht="23.25">
      <c r="A1" s="350" t="s">
        <v>245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23.25">
      <c r="A2" s="350" t="s">
        <v>569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23.25">
      <c r="A3" s="350" t="s">
        <v>567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6" ht="6" customHeight="1">
      <c r="A4" s="230"/>
      <c r="F4" s="4"/>
    </row>
    <row r="5" spans="1:10" ht="23.25">
      <c r="A5" s="233" t="s">
        <v>571</v>
      </c>
      <c r="B5" s="234"/>
      <c r="C5" s="235"/>
      <c r="D5" s="236"/>
      <c r="E5" s="237"/>
      <c r="F5" s="233" t="s">
        <v>572</v>
      </c>
      <c r="G5" s="234"/>
      <c r="H5" s="10"/>
      <c r="I5" s="236"/>
      <c r="J5" s="235"/>
    </row>
    <row r="6" spans="1:10" ht="24" thickBot="1">
      <c r="A6" s="6" t="s">
        <v>573</v>
      </c>
      <c r="B6" s="238"/>
      <c r="C6" s="31"/>
      <c r="D6" s="239">
        <v>7380581</v>
      </c>
      <c r="E6" s="242">
        <v>0</v>
      </c>
      <c r="F6" s="6" t="s">
        <v>574</v>
      </c>
      <c r="G6" s="238"/>
      <c r="H6" s="13"/>
      <c r="I6" s="239">
        <v>7380581</v>
      </c>
      <c r="J6" s="240">
        <v>0</v>
      </c>
    </row>
    <row r="7" spans="2:10" ht="24" thickTop="1">
      <c r="B7" s="238"/>
      <c r="C7" s="31"/>
      <c r="D7" s="32"/>
      <c r="E7" s="241"/>
      <c r="F7" s="6" t="s">
        <v>51</v>
      </c>
      <c r="G7" s="238"/>
      <c r="H7" s="13"/>
      <c r="I7" s="32">
        <v>4860411</v>
      </c>
      <c r="J7" s="31">
        <v>30</v>
      </c>
    </row>
    <row r="8" spans="2:10" ht="23.25">
      <c r="B8" s="238"/>
      <c r="C8" s="31"/>
      <c r="D8" s="32"/>
      <c r="E8" s="241"/>
      <c r="F8" s="6" t="s">
        <v>575</v>
      </c>
      <c r="G8" s="238"/>
      <c r="H8" s="13"/>
      <c r="I8" s="32">
        <v>207885</v>
      </c>
      <c r="J8" s="242">
        <v>0</v>
      </c>
    </row>
    <row r="9" spans="2:10" ht="23.25">
      <c r="B9" s="238"/>
      <c r="C9" s="31"/>
      <c r="D9" s="32"/>
      <c r="E9" s="241"/>
      <c r="F9" s="6" t="s">
        <v>263</v>
      </c>
      <c r="G9" s="238"/>
      <c r="H9" s="13"/>
      <c r="I9" s="32">
        <v>538860</v>
      </c>
      <c r="J9" s="242">
        <v>0</v>
      </c>
    </row>
    <row r="10" spans="2:10" ht="23.25">
      <c r="B10" s="238"/>
      <c r="C10" s="31"/>
      <c r="D10" s="32"/>
      <c r="E10" s="241"/>
      <c r="F10" s="6" t="s">
        <v>576</v>
      </c>
      <c r="G10" s="238"/>
      <c r="H10" s="13"/>
      <c r="I10" s="32">
        <v>186500</v>
      </c>
      <c r="J10" s="242">
        <v>0</v>
      </c>
    </row>
    <row r="11" spans="2:10" ht="23.25">
      <c r="B11" s="238"/>
      <c r="C11" s="31"/>
      <c r="D11" s="32"/>
      <c r="E11" s="241"/>
      <c r="F11" s="6" t="s">
        <v>251</v>
      </c>
      <c r="G11" s="238"/>
      <c r="H11" s="13"/>
      <c r="I11" s="32">
        <v>463159</v>
      </c>
      <c r="J11" s="242">
        <v>0</v>
      </c>
    </row>
    <row r="12" spans="2:10" ht="23.25">
      <c r="B12" s="238"/>
      <c r="C12" s="31"/>
      <c r="D12" s="32"/>
      <c r="E12" s="241"/>
      <c r="F12" s="6" t="s">
        <v>577</v>
      </c>
      <c r="G12" s="238"/>
      <c r="H12" s="13"/>
      <c r="I12" s="32">
        <v>40871</v>
      </c>
      <c r="J12" s="31">
        <v>15</v>
      </c>
    </row>
    <row r="13" spans="2:10" ht="23.25">
      <c r="B13" s="238"/>
      <c r="C13" s="31"/>
      <c r="D13" s="32"/>
      <c r="E13" s="241"/>
      <c r="F13" s="6" t="s">
        <v>253</v>
      </c>
      <c r="G13" s="238"/>
      <c r="H13" s="13"/>
      <c r="I13" s="32">
        <v>709313</v>
      </c>
      <c r="J13" s="31">
        <v>70</v>
      </c>
    </row>
    <row r="14" spans="2:10" ht="23.25">
      <c r="B14" s="238"/>
      <c r="C14" s="31"/>
      <c r="D14" s="32"/>
      <c r="E14" s="241"/>
      <c r="F14" s="6" t="s">
        <v>578</v>
      </c>
      <c r="G14" s="238"/>
      <c r="H14" s="13"/>
      <c r="I14" s="32">
        <v>2074</v>
      </c>
      <c r="J14" s="242">
        <v>0</v>
      </c>
    </row>
    <row r="15" spans="2:10" ht="23.25">
      <c r="B15" s="238"/>
      <c r="C15" s="243"/>
      <c r="D15" s="32"/>
      <c r="E15" s="241"/>
      <c r="F15" s="6" t="s">
        <v>579</v>
      </c>
      <c r="G15" s="238"/>
      <c r="H15" s="31"/>
      <c r="I15" s="32">
        <v>2488</v>
      </c>
      <c r="J15" s="242">
        <v>80</v>
      </c>
    </row>
    <row r="16" spans="2:10" ht="23.25">
      <c r="B16" s="238"/>
      <c r="C16" s="243"/>
      <c r="D16" s="32"/>
      <c r="E16" s="241"/>
      <c r="F16" s="6" t="s">
        <v>581</v>
      </c>
      <c r="G16" s="238"/>
      <c r="H16" s="31"/>
      <c r="I16" s="32">
        <v>7500</v>
      </c>
      <c r="J16" s="242">
        <v>0</v>
      </c>
    </row>
    <row r="17" spans="1:10" ht="23.25">
      <c r="A17" s="6" t="s">
        <v>592</v>
      </c>
      <c r="B17" s="238"/>
      <c r="C17" s="31"/>
      <c r="D17" s="32"/>
      <c r="E17" s="241"/>
      <c r="G17" s="238"/>
      <c r="H17" s="31"/>
      <c r="I17" s="32"/>
      <c r="J17" s="242"/>
    </row>
    <row r="18" spans="1:10" ht="23.25">
      <c r="A18" s="6" t="s">
        <v>31</v>
      </c>
      <c r="B18" s="238">
        <v>400</v>
      </c>
      <c r="C18" s="242">
        <v>0</v>
      </c>
      <c r="D18" s="32"/>
      <c r="E18" s="241"/>
      <c r="G18" s="238"/>
      <c r="H18" s="31"/>
      <c r="I18" s="32"/>
      <c r="J18" s="242"/>
    </row>
    <row r="19" spans="1:10" ht="23.25">
      <c r="A19" s="6" t="s">
        <v>582</v>
      </c>
      <c r="B19" s="238">
        <v>2820436</v>
      </c>
      <c r="C19" s="31">
        <v>86</v>
      </c>
      <c r="D19" s="32"/>
      <c r="E19" s="241"/>
      <c r="F19" s="6" t="s">
        <v>593</v>
      </c>
      <c r="G19" s="238">
        <v>6660752</v>
      </c>
      <c r="H19" s="242">
        <v>1</v>
      </c>
      <c r="I19" s="32"/>
      <c r="J19" s="13"/>
    </row>
    <row r="20" spans="1:10" ht="23.25">
      <c r="A20" s="6" t="s">
        <v>583</v>
      </c>
      <c r="B20" s="238">
        <v>272113</v>
      </c>
      <c r="C20" s="31">
        <v>70</v>
      </c>
      <c r="D20" s="32"/>
      <c r="E20" s="241"/>
      <c r="F20" s="6" t="s">
        <v>584</v>
      </c>
      <c r="G20" s="238">
        <v>4373735</v>
      </c>
      <c r="H20" s="31">
        <v>43</v>
      </c>
      <c r="I20" s="32"/>
      <c r="J20" s="13"/>
    </row>
    <row r="21" spans="1:10" ht="23.25">
      <c r="A21" s="6" t="s">
        <v>585</v>
      </c>
      <c r="B21" s="238">
        <v>7685630</v>
      </c>
      <c r="C21" s="242">
        <v>8</v>
      </c>
      <c r="D21" s="32"/>
      <c r="E21" s="241"/>
      <c r="F21" s="6" t="s">
        <v>586</v>
      </c>
      <c r="G21" s="238">
        <v>105060</v>
      </c>
      <c r="H21" s="242">
        <v>0</v>
      </c>
      <c r="I21" s="32"/>
      <c r="J21" s="13"/>
    </row>
    <row r="22" spans="1:10" ht="23.25">
      <c r="A22" s="6" t="s">
        <v>587</v>
      </c>
      <c r="B22" s="238">
        <v>3862395</v>
      </c>
      <c r="C22" s="31">
        <v>89</v>
      </c>
      <c r="D22" s="32"/>
      <c r="E22" s="244"/>
      <c r="F22" s="6" t="s">
        <v>588</v>
      </c>
      <c r="G22" s="238">
        <v>1093433</v>
      </c>
      <c r="H22" s="242">
        <v>86</v>
      </c>
      <c r="I22" s="32"/>
      <c r="J22" s="13"/>
    </row>
    <row r="23" spans="1:10" ht="23.25">
      <c r="A23" s="6" t="s">
        <v>589</v>
      </c>
      <c r="B23" s="238">
        <v>437200</v>
      </c>
      <c r="C23" s="242">
        <v>0</v>
      </c>
      <c r="D23" s="32"/>
      <c r="E23" s="244"/>
      <c r="F23" s="6" t="s">
        <v>590</v>
      </c>
      <c r="G23" s="238">
        <v>1987000</v>
      </c>
      <c r="H23" s="242">
        <v>0</v>
      </c>
      <c r="I23" s="32"/>
      <c r="J23" s="13"/>
    </row>
    <row r="24" spans="1:10" ht="23.25">
      <c r="A24" s="6" t="s">
        <v>591</v>
      </c>
      <c r="B24" s="245"/>
      <c r="C24" s="246"/>
      <c r="D24" s="32">
        <f>SUM(B18:B24)+2</f>
        <v>15078176</v>
      </c>
      <c r="E24" s="9">
        <f>SUM(C15:C24)-200</f>
        <v>53</v>
      </c>
      <c r="F24" s="6" t="s">
        <v>594</v>
      </c>
      <c r="G24" s="247"/>
      <c r="H24" s="248"/>
      <c r="I24" s="249">
        <f>G19+G20+G21-G22-G23-1</f>
        <v>8059113</v>
      </c>
      <c r="J24" s="246">
        <v>58</v>
      </c>
    </row>
    <row r="25" spans="4:10" ht="23.25">
      <c r="D25" s="33">
        <f>D6+D24</f>
        <v>22458757</v>
      </c>
      <c r="E25" s="286">
        <f>E6+E24</f>
        <v>53</v>
      </c>
      <c r="I25" s="33">
        <f>SUM(I7:I17)+I24+I6+2</f>
        <v>22458757</v>
      </c>
      <c r="J25" s="33">
        <f>SUM(J6:J24)-200</f>
        <v>53</v>
      </c>
    </row>
    <row r="26" ht="6.75" customHeight="1">
      <c r="J26" s="6" t="s">
        <v>240</v>
      </c>
    </row>
    <row r="27" spans="1:9" ht="23.25">
      <c r="A27" s="60" t="s">
        <v>243</v>
      </c>
      <c r="C27" s="377" t="s">
        <v>244</v>
      </c>
      <c r="D27" s="377"/>
      <c r="E27" s="377"/>
      <c r="G27" s="377" t="s">
        <v>244</v>
      </c>
      <c r="H27" s="377"/>
      <c r="I27" s="377"/>
    </row>
    <row r="28" spans="1:3" ht="23.25">
      <c r="A28" s="60"/>
      <c r="C28" s="231"/>
    </row>
    <row r="29" spans="1:9" ht="23.25">
      <c r="A29" s="60" t="s">
        <v>241</v>
      </c>
      <c r="C29" s="377" t="s">
        <v>242</v>
      </c>
      <c r="D29" s="377"/>
      <c r="E29" s="377"/>
      <c r="G29" s="377" t="s">
        <v>289</v>
      </c>
      <c r="H29" s="377"/>
      <c r="I29" s="377"/>
    </row>
    <row r="30" spans="1:9" ht="23.25">
      <c r="A30" s="60" t="s">
        <v>11</v>
      </c>
      <c r="C30" s="377" t="s">
        <v>12</v>
      </c>
      <c r="D30" s="377"/>
      <c r="E30" s="377"/>
      <c r="G30" s="377" t="s">
        <v>290</v>
      </c>
      <c r="H30" s="377"/>
      <c r="I30" s="377"/>
    </row>
    <row r="31" spans="7:9" ht="23.25">
      <c r="G31" s="377"/>
      <c r="H31" s="377"/>
      <c r="I31" s="377"/>
    </row>
  </sheetData>
  <mergeCells count="10">
    <mergeCell ref="G31:I31"/>
    <mergeCell ref="C29:E29"/>
    <mergeCell ref="G29:I29"/>
    <mergeCell ref="C30:E30"/>
    <mergeCell ref="G30:I30"/>
    <mergeCell ref="A1:J1"/>
    <mergeCell ref="A2:J2"/>
    <mergeCell ref="A3:J3"/>
    <mergeCell ref="C27:E27"/>
    <mergeCell ref="G27:I2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workbookViewId="0" topLeftCell="A7">
      <selection activeCell="A8" sqref="A8:B8"/>
    </sheetView>
  </sheetViews>
  <sheetFormatPr defaultColWidth="9.140625" defaultRowHeight="12.75"/>
  <cols>
    <col min="1" max="1" width="3.00390625" style="49" customWidth="1"/>
    <col min="2" max="2" width="49.140625" style="49" customWidth="1"/>
    <col min="3" max="3" width="18.00390625" style="49" customWidth="1"/>
    <col min="4" max="4" width="18.421875" style="49" customWidth="1"/>
    <col min="5" max="5" width="9.140625" style="49" customWidth="1"/>
    <col min="6" max="6" width="13.00390625" style="49" customWidth="1"/>
    <col min="7" max="16384" width="9.140625" style="49" customWidth="1"/>
  </cols>
  <sheetData>
    <row r="1" ht="23.25">
      <c r="D1" s="49" t="s">
        <v>635</v>
      </c>
    </row>
    <row r="2" spans="1:4" ht="23.25">
      <c r="A2" s="321" t="s">
        <v>643</v>
      </c>
      <c r="B2" s="321"/>
      <c r="C2" s="321"/>
      <c r="D2" s="321"/>
    </row>
    <row r="3" spans="1:4" ht="23.25">
      <c r="A3" s="321" t="s">
        <v>569</v>
      </c>
      <c r="B3" s="321"/>
      <c r="C3" s="321"/>
      <c r="D3" s="321"/>
    </row>
    <row r="4" spans="1:4" ht="23.25">
      <c r="A4" s="321" t="s">
        <v>567</v>
      </c>
      <c r="B4" s="321"/>
      <c r="C4" s="321"/>
      <c r="D4" s="321"/>
    </row>
    <row r="5" spans="1:4" ht="24" thickBot="1">
      <c r="A5" s="379" t="s">
        <v>667</v>
      </c>
      <c r="B5" s="379"/>
      <c r="C5" s="379"/>
      <c r="D5" s="379"/>
    </row>
    <row r="6" spans="1:4" s="159" customFormat="1" ht="23.25">
      <c r="A6" s="380" t="s">
        <v>26</v>
      </c>
      <c r="B6" s="381"/>
      <c r="C6" s="383" t="s">
        <v>645</v>
      </c>
      <c r="D6" s="383" t="s">
        <v>644</v>
      </c>
    </row>
    <row r="7" spans="1:4" s="159" customFormat="1" ht="23.25">
      <c r="A7" s="382"/>
      <c r="B7" s="334"/>
      <c r="C7" s="384"/>
      <c r="D7" s="384"/>
    </row>
    <row r="8" spans="1:4" ht="23.25">
      <c r="A8" s="399" t="s">
        <v>646</v>
      </c>
      <c r="B8" s="378"/>
      <c r="C8" s="139"/>
      <c r="D8" s="305"/>
    </row>
    <row r="9" spans="1:4" ht="23.25">
      <c r="A9" s="393"/>
      <c r="B9" s="306" t="s">
        <v>573</v>
      </c>
      <c r="C9" s="90">
        <v>6577651</v>
      </c>
      <c r="D9" s="90">
        <v>7380581</v>
      </c>
    </row>
    <row r="10" spans="1:4" ht="23.25">
      <c r="A10" s="393"/>
      <c r="B10" s="306" t="s">
        <v>647</v>
      </c>
      <c r="C10" s="90">
        <v>14368816.24</v>
      </c>
      <c r="D10" s="90">
        <v>15078176.53</v>
      </c>
    </row>
    <row r="11" spans="1:4" ht="23.25">
      <c r="A11" s="393"/>
      <c r="B11" s="306" t="s">
        <v>648</v>
      </c>
      <c r="C11" s="139">
        <v>0</v>
      </c>
      <c r="D11" s="139">
        <v>0</v>
      </c>
    </row>
    <row r="12" spans="1:4" ht="23.25">
      <c r="A12" s="393"/>
      <c r="B12" s="306" t="s">
        <v>649</v>
      </c>
      <c r="C12" s="139">
        <v>0</v>
      </c>
      <c r="D12" s="139">
        <v>0</v>
      </c>
    </row>
    <row r="13" spans="1:4" ht="23.25">
      <c r="A13" s="393"/>
      <c r="B13" s="306" t="s">
        <v>636</v>
      </c>
      <c r="C13" s="139">
        <v>0</v>
      </c>
      <c r="D13" s="139">
        <v>0</v>
      </c>
    </row>
    <row r="14" spans="1:4" ht="23.25">
      <c r="A14" s="393"/>
      <c r="B14" s="306" t="s">
        <v>650</v>
      </c>
      <c r="C14" s="139">
        <v>0</v>
      </c>
      <c r="D14" s="139">
        <v>0</v>
      </c>
    </row>
    <row r="15" spans="1:4" ht="23.25">
      <c r="A15" s="393"/>
      <c r="B15" s="306" t="s">
        <v>651</v>
      </c>
      <c r="C15" s="139">
        <v>0</v>
      </c>
      <c r="D15" s="139">
        <v>0</v>
      </c>
    </row>
    <row r="16" spans="1:4" ht="23.25">
      <c r="A16" s="393"/>
      <c r="B16" s="306" t="s">
        <v>652</v>
      </c>
      <c r="C16" s="139">
        <v>0</v>
      </c>
      <c r="D16" s="139">
        <v>0</v>
      </c>
    </row>
    <row r="17" spans="1:4" ht="23.25">
      <c r="A17" s="393"/>
      <c r="B17" s="306" t="s">
        <v>638</v>
      </c>
      <c r="C17" s="139">
        <v>0</v>
      </c>
      <c r="D17" s="139">
        <v>0</v>
      </c>
    </row>
    <row r="18" spans="1:4" ht="23.25">
      <c r="A18" s="393"/>
      <c r="B18" s="306" t="s">
        <v>639</v>
      </c>
      <c r="C18" s="139">
        <v>0</v>
      </c>
      <c r="D18" s="139">
        <v>0</v>
      </c>
    </row>
    <row r="19" spans="1:4" ht="23.25">
      <c r="A19" s="393"/>
      <c r="B19" s="306" t="s">
        <v>637</v>
      </c>
      <c r="C19" s="139">
        <v>0</v>
      </c>
      <c r="D19" s="139">
        <v>0</v>
      </c>
    </row>
    <row r="20" spans="1:4" s="159" customFormat="1" ht="23.25">
      <c r="A20" s="394"/>
      <c r="B20" s="307" t="s">
        <v>653</v>
      </c>
      <c r="C20" s="308">
        <f>SUM(C8:C19)</f>
        <v>20946467.240000002</v>
      </c>
      <c r="D20" s="308">
        <f>SUM(D8:D19)</f>
        <v>22458757.53</v>
      </c>
    </row>
    <row r="21" spans="1:4" ht="23.25">
      <c r="A21" s="395" t="s">
        <v>654</v>
      </c>
      <c r="B21" s="304"/>
      <c r="C21" s="139">
        <v>0</v>
      </c>
      <c r="D21" s="139">
        <v>0</v>
      </c>
    </row>
    <row r="22" spans="1:4" ht="23.25">
      <c r="A22" s="396"/>
      <c r="B22" s="306" t="s">
        <v>655</v>
      </c>
      <c r="C22" s="90">
        <v>0</v>
      </c>
      <c r="D22" s="90">
        <v>0</v>
      </c>
    </row>
    <row r="23" spans="1:4" ht="23.25">
      <c r="A23" s="396"/>
      <c r="B23" s="306" t="s">
        <v>656</v>
      </c>
      <c r="C23" s="90">
        <f>478444+1991.4+2389.68+7996.91+7500</f>
        <v>498321.99</v>
      </c>
      <c r="D23" s="90">
        <f>463159+2074+2488.8+7500</f>
        <v>475221.8</v>
      </c>
    </row>
    <row r="24" spans="1:4" ht="23.25">
      <c r="A24" s="396"/>
      <c r="B24" s="306" t="s">
        <v>575</v>
      </c>
      <c r="C24" s="90">
        <v>1185983.2</v>
      </c>
      <c r="D24" s="90">
        <f>207885+538860</f>
        <v>746745</v>
      </c>
    </row>
    <row r="25" spans="1:4" ht="23.25">
      <c r="A25" s="396"/>
      <c r="B25" s="306" t="s">
        <v>657</v>
      </c>
      <c r="C25" s="90"/>
      <c r="D25" s="90"/>
    </row>
    <row r="26" spans="1:4" ht="23.25">
      <c r="A26" s="396"/>
      <c r="B26" s="306" t="s">
        <v>576</v>
      </c>
      <c r="C26" s="90">
        <f>1475000+34000</f>
        <v>1509000</v>
      </c>
      <c r="D26" s="90">
        <v>186500</v>
      </c>
    </row>
    <row r="27" spans="1:4" ht="23.25">
      <c r="A27" s="396"/>
      <c r="B27" s="306" t="s">
        <v>658</v>
      </c>
      <c r="C27" s="139">
        <f>40871.15+706910.45</f>
        <v>747781.6</v>
      </c>
      <c r="D27" s="139">
        <f>40871.15+709313.7</f>
        <v>750184.85</v>
      </c>
    </row>
    <row r="28" spans="1:4" ht="23.25">
      <c r="A28" s="396"/>
      <c r="B28" s="307" t="s">
        <v>659</v>
      </c>
      <c r="C28" s="309">
        <f>SUM(C22:C27)</f>
        <v>3941086.79</v>
      </c>
      <c r="D28" s="309">
        <f>SUM(D22:D27)</f>
        <v>2158651.65</v>
      </c>
    </row>
    <row r="29" spans="1:4" ht="23.25">
      <c r="A29" s="396"/>
      <c r="B29" s="306" t="s">
        <v>299</v>
      </c>
      <c r="C29" s="90">
        <v>6660752.01</v>
      </c>
      <c r="D29" s="90">
        <v>8059113.58</v>
      </c>
    </row>
    <row r="30" spans="1:4" ht="23.25">
      <c r="A30" s="396"/>
      <c r="B30" s="306" t="s">
        <v>660</v>
      </c>
      <c r="C30" s="90">
        <v>3766977.44</v>
      </c>
      <c r="D30" s="90">
        <v>4860411.3</v>
      </c>
    </row>
    <row r="31" spans="1:4" ht="23.25">
      <c r="A31" s="396"/>
      <c r="B31" s="306" t="s">
        <v>221</v>
      </c>
      <c r="C31" s="90"/>
      <c r="D31" s="90"/>
    </row>
    <row r="32" spans="1:4" ht="23.25">
      <c r="A32" s="396"/>
      <c r="B32" s="306" t="s">
        <v>661</v>
      </c>
      <c r="C32" s="90"/>
      <c r="D32" s="90"/>
    </row>
    <row r="33" spans="1:4" ht="23.25">
      <c r="A33" s="396"/>
      <c r="B33" s="307" t="s">
        <v>662</v>
      </c>
      <c r="C33" s="103">
        <f>SUM(C29:C32)</f>
        <v>10427729.45</v>
      </c>
      <c r="D33" s="103">
        <f>SUM(D29:D32)</f>
        <v>12919524.879999999</v>
      </c>
    </row>
    <row r="34" spans="1:4" ht="23.25">
      <c r="A34" s="396"/>
      <c r="B34" s="306" t="s">
        <v>574</v>
      </c>
      <c r="C34" s="90">
        <v>6577651</v>
      </c>
      <c r="D34" s="90">
        <v>7380581</v>
      </c>
    </row>
    <row r="35" spans="1:4" ht="23.25">
      <c r="A35" s="396"/>
      <c r="B35" s="307" t="s">
        <v>663</v>
      </c>
      <c r="C35" s="103">
        <f>SUM(C34)</f>
        <v>6577651</v>
      </c>
      <c r="D35" s="103">
        <f>SUM(D34)</f>
        <v>7380581</v>
      </c>
    </row>
    <row r="36" spans="1:4" ht="23.25">
      <c r="A36" s="84"/>
      <c r="B36" s="180" t="s">
        <v>664</v>
      </c>
      <c r="C36" s="397">
        <f>C28+C33+C35</f>
        <v>20946467.24</v>
      </c>
      <c r="D36" s="398">
        <f>D28+D33+D35</f>
        <v>22458757.53</v>
      </c>
    </row>
    <row r="37" ht="23.25">
      <c r="A37" s="159" t="s">
        <v>665</v>
      </c>
    </row>
    <row r="38" ht="11.25" customHeight="1"/>
    <row r="39" ht="23.25">
      <c r="C39" s="49" t="s">
        <v>666</v>
      </c>
    </row>
    <row r="40" spans="3:4" ht="23.25">
      <c r="C40" s="328" t="s">
        <v>289</v>
      </c>
      <c r="D40" s="328"/>
    </row>
    <row r="41" spans="3:4" ht="23.25">
      <c r="C41" s="328" t="s">
        <v>290</v>
      </c>
      <c r="D41" s="328"/>
    </row>
  </sheetData>
  <mergeCells count="10">
    <mergeCell ref="A2:D2"/>
    <mergeCell ref="A3:D3"/>
    <mergeCell ref="A4:D4"/>
    <mergeCell ref="A6:B7"/>
    <mergeCell ref="D6:D7"/>
    <mergeCell ref="C6:C7"/>
    <mergeCell ref="A8:B8"/>
    <mergeCell ref="C40:D40"/>
    <mergeCell ref="C41:D41"/>
    <mergeCell ref="A5:D5"/>
  </mergeCells>
  <printOptions/>
  <pageMargins left="0.88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SheetLayoutView="100" workbookViewId="0" topLeftCell="A25">
      <selection activeCell="A40" sqref="A40"/>
    </sheetView>
  </sheetViews>
  <sheetFormatPr defaultColWidth="9.140625" defaultRowHeight="12.75"/>
  <cols>
    <col min="1" max="1" width="40.00390625" style="49" customWidth="1"/>
    <col min="2" max="2" width="21.57421875" style="96" customWidth="1"/>
    <col min="3" max="3" width="24.28125" style="96" customWidth="1"/>
    <col min="4" max="16384" width="9.140625" style="49" customWidth="1"/>
  </cols>
  <sheetData>
    <row r="1" spans="1:3" ht="23.25">
      <c r="A1" s="386" t="s">
        <v>668</v>
      </c>
      <c r="B1" s="386"/>
      <c r="C1" s="386"/>
    </row>
    <row r="2" spans="1:3" ht="23.25">
      <c r="A2" s="321" t="s">
        <v>643</v>
      </c>
      <c r="B2" s="321"/>
      <c r="C2" s="321"/>
    </row>
    <row r="3" spans="1:3" ht="23.25">
      <c r="A3" s="321" t="s">
        <v>669</v>
      </c>
      <c r="B3" s="321"/>
      <c r="C3" s="321"/>
    </row>
    <row r="4" spans="1:3" ht="23.25">
      <c r="A4" s="321" t="s">
        <v>567</v>
      </c>
      <c r="B4" s="321"/>
      <c r="C4" s="321"/>
    </row>
    <row r="5" spans="1:3" ht="23.25">
      <c r="A5" s="385" t="s">
        <v>670</v>
      </c>
      <c r="B5" s="385"/>
      <c r="C5" s="385"/>
    </row>
    <row r="6" spans="1:3" s="194" customFormat="1" ht="23.25">
      <c r="A6" s="167" t="s">
        <v>26</v>
      </c>
      <c r="B6" s="310" t="s">
        <v>645</v>
      </c>
      <c r="C6" s="310" t="s">
        <v>644</v>
      </c>
    </row>
    <row r="7" spans="1:3" ht="23.25">
      <c r="A7" s="114" t="s">
        <v>236</v>
      </c>
      <c r="B7" s="90"/>
      <c r="C7" s="90"/>
    </row>
    <row r="8" spans="1:3" ht="23.25">
      <c r="A8" s="114" t="s">
        <v>671</v>
      </c>
      <c r="B8" s="90">
        <v>2919951</v>
      </c>
      <c r="C8" s="90">
        <v>2919951</v>
      </c>
    </row>
    <row r="9" spans="1:3" ht="23.25">
      <c r="A9" s="114" t="s">
        <v>672</v>
      </c>
      <c r="B9" s="90">
        <v>0</v>
      </c>
      <c r="C9" s="90">
        <v>0</v>
      </c>
    </row>
    <row r="10" spans="1:3" ht="23.25">
      <c r="A10" s="114" t="s">
        <v>673</v>
      </c>
      <c r="B10" s="90">
        <v>0</v>
      </c>
      <c r="C10" s="90">
        <v>0</v>
      </c>
    </row>
    <row r="11" spans="1:3" ht="23.25">
      <c r="A11" s="114" t="s">
        <v>674</v>
      </c>
      <c r="B11" s="90">
        <v>0</v>
      </c>
      <c r="C11" s="90">
        <v>0</v>
      </c>
    </row>
    <row r="12" spans="1:3" ht="23.25">
      <c r="A12" s="114" t="s">
        <v>675</v>
      </c>
      <c r="B12" s="90">
        <v>0</v>
      </c>
      <c r="C12" s="90">
        <v>0</v>
      </c>
    </row>
    <row r="13" spans="1:3" ht="23.25">
      <c r="A13" s="114" t="s">
        <v>676</v>
      </c>
      <c r="B13" s="90">
        <v>0</v>
      </c>
      <c r="C13" s="90">
        <v>0</v>
      </c>
    </row>
    <row r="14" spans="1:3" ht="23.25">
      <c r="A14" s="114" t="s">
        <v>677</v>
      </c>
      <c r="B14" s="90">
        <f>770000+41000</f>
        <v>811000</v>
      </c>
      <c r="C14" s="90">
        <f>770000+41000</f>
        <v>811000</v>
      </c>
    </row>
    <row r="15" spans="1:3" ht="23.25">
      <c r="A15" s="114" t="s">
        <v>678</v>
      </c>
      <c r="B15" s="90">
        <v>0</v>
      </c>
      <c r="C15" s="90">
        <v>0</v>
      </c>
    </row>
    <row r="16" spans="1:3" ht="23.25">
      <c r="A16" s="114" t="s">
        <v>679</v>
      </c>
      <c r="B16" s="90">
        <v>0</v>
      </c>
      <c r="C16" s="90">
        <v>0</v>
      </c>
    </row>
    <row r="17" spans="1:3" ht="23.25">
      <c r="A17" s="114" t="s">
        <v>680</v>
      </c>
      <c r="B17" s="90">
        <v>0</v>
      </c>
      <c r="C17" s="90">
        <v>0</v>
      </c>
    </row>
    <row r="18" spans="1:3" ht="23.25">
      <c r="A18" s="114" t="s">
        <v>681</v>
      </c>
      <c r="B18" s="90">
        <v>1562200</v>
      </c>
      <c r="C18" s="90">
        <v>1576630</v>
      </c>
    </row>
    <row r="19" spans="1:3" ht="23.25">
      <c r="A19" s="114" t="s">
        <v>564</v>
      </c>
      <c r="B19" s="90">
        <v>38950</v>
      </c>
      <c r="C19" s="90">
        <v>38950</v>
      </c>
    </row>
    <row r="20" spans="1:3" ht="23.25">
      <c r="A20" s="114" t="s">
        <v>559</v>
      </c>
      <c r="B20" s="90">
        <v>219500</v>
      </c>
      <c r="C20" s="90">
        <v>918500</v>
      </c>
    </row>
    <row r="21" spans="1:3" ht="23.25">
      <c r="A21" s="114" t="s">
        <v>682</v>
      </c>
      <c r="B21" s="90">
        <v>128500</v>
      </c>
      <c r="C21" s="90">
        <v>128500</v>
      </c>
    </row>
    <row r="22" spans="1:3" ht="23.25">
      <c r="A22" s="114" t="s">
        <v>683</v>
      </c>
      <c r="B22" s="90">
        <v>0</v>
      </c>
      <c r="C22" s="90">
        <v>0</v>
      </c>
    </row>
    <row r="23" spans="1:3" ht="23.25">
      <c r="A23" s="114" t="s">
        <v>561</v>
      </c>
      <c r="B23" s="90">
        <v>332000</v>
      </c>
      <c r="C23" s="90">
        <v>346000</v>
      </c>
    </row>
    <row r="24" spans="1:3" ht="23.25">
      <c r="A24" s="114" t="s">
        <v>562</v>
      </c>
      <c r="B24" s="90">
        <v>116000</v>
      </c>
      <c r="C24" s="90">
        <v>123500</v>
      </c>
    </row>
    <row r="25" spans="1:3" ht="23.25">
      <c r="A25" s="114" t="s">
        <v>684</v>
      </c>
      <c r="B25" s="90">
        <v>0</v>
      </c>
      <c r="C25" s="90">
        <v>0</v>
      </c>
    </row>
    <row r="26" spans="1:3" ht="23.25">
      <c r="A26" s="114" t="s">
        <v>560</v>
      </c>
      <c r="B26" s="90">
        <v>17300</v>
      </c>
      <c r="C26" s="90">
        <v>17300</v>
      </c>
    </row>
    <row r="27" spans="1:3" ht="23.25">
      <c r="A27" s="114" t="s">
        <v>685</v>
      </c>
      <c r="B27" s="90">
        <v>0</v>
      </c>
      <c r="C27" s="90">
        <v>0</v>
      </c>
    </row>
    <row r="28" spans="1:3" ht="23.25">
      <c r="A28" s="114" t="s">
        <v>686</v>
      </c>
      <c r="B28" s="90">
        <v>0</v>
      </c>
      <c r="C28" s="90">
        <v>0</v>
      </c>
    </row>
    <row r="29" spans="1:3" ht="23.25">
      <c r="A29" s="114" t="s">
        <v>687</v>
      </c>
      <c r="B29" s="90">
        <v>0</v>
      </c>
      <c r="C29" s="90">
        <v>0</v>
      </c>
    </row>
    <row r="30" spans="1:3" ht="23.25">
      <c r="A30" s="114" t="s">
        <v>688</v>
      </c>
      <c r="B30" s="90">
        <v>0</v>
      </c>
      <c r="C30" s="90">
        <v>0</v>
      </c>
    </row>
    <row r="31" spans="1:3" ht="23.25">
      <c r="A31" s="114" t="s">
        <v>689</v>
      </c>
      <c r="B31" s="90">
        <v>0</v>
      </c>
      <c r="C31" s="90">
        <v>0</v>
      </c>
    </row>
    <row r="32" spans="1:3" ht="23.25">
      <c r="A32" s="114" t="s">
        <v>690</v>
      </c>
      <c r="B32" s="90">
        <v>149500</v>
      </c>
      <c r="C32" s="90">
        <v>149500</v>
      </c>
    </row>
    <row r="33" spans="1:3" ht="23.25">
      <c r="A33" s="114" t="s">
        <v>691</v>
      </c>
      <c r="B33" s="90">
        <v>0</v>
      </c>
      <c r="C33" s="90">
        <v>68000</v>
      </c>
    </row>
    <row r="34" spans="1:3" ht="23.25">
      <c r="A34" s="114" t="s">
        <v>692</v>
      </c>
      <c r="B34" s="90">
        <v>134650</v>
      </c>
      <c r="C34" s="90">
        <v>134650</v>
      </c>
    </row>
    <row r="35" spans="1:3" ht="23.25">
      <c r="A35" s="114" t="s">
        <v>693</v>
      </c>
      <c r="B35" s="90">
        <v>148100</v>
      </c>
      <c r="C35" s="90">
        <v>148100</v>
      </c>
    </row>
    <row r="36" spans="1:3" s="159" customFormat="1" ht="23.25">
      <c r="A36" s="167" t="s">
        <v>694</v>
      </c>
      <c r="B36" s="103">
        <f>SUM(B7:B35)</f>
        <v>6577651</v>
      </c>
      <c r="C36" s="103">
        <f>SUM(C7:C35)</f>
        <v>7380581</v>
      </c>
    </row>
    <row r="37" spans="1:3" ht="23.25">
      <c r="A37" s="112" t="s">
        <v>700</v>
      </c>
      <c r="B37" s="108"/>
      <c r="C37" s="271"/>
    </row>
    <row r="38" spans="1:3" ht="23.25">
      <c r="A38" s="114" t="s">
        <v>470</v>
      </c>
      <c r="B38" s="90">
        <v>6553651</v>
      </c>
      <c r="C38" s="90">
        <v>7356581</v>
      </c>
    </row>
    <row r="39" spans="1:3" ht="23.25">
      <c r="A39" s="114" t="s">
        <v>695</v>
      </c>
      <c r="B39" s="90"/>
      <c r="C39" s="90">
        <v>0</v>
      </c>
    </row>
    <row r="40" spans="1:3" ht="23.25">
      <c r="A40" s="114" t="s">
        <v>696</v>
      </c>
      <c r="B40" s="90"/>
      <c r="C40" s="90">
        <v>0</v>
      </c>
    </row>
    <row r="41" spans="1:3" ht="23.25">
      <c r="A41" s="114" t="s">
        <v>697</v>
      </c>
      <c r="B41" s="90"/>
      <c r="C41" s="90">
        <v>0</v>
      </c>
    </row>
    <row r="42" spans="1:3" ht="23.25">
      <c r="A42" s="114" t="s">
        <v>220</v>
      </c>
      <c r="B42" s="90">
        <v>24000</v>
      </c>
      <c r="C42" s="90">
        <v>24000</v>
      </c>
    </row>
    <row r="43" spans="1:3" ht="23.25">
      <c r="A43" s="114" t="s">
        <v>698</v>
      </c>
      <c r="B43" s="90"/>
      <c r="C43" s="90">
        <v>0</v>
      </c>
    </row>
    <row r="44" spans="1:3" ht="23.25">
      <c r="A44" s="167" t="s">
        <v>699</v>
      </c>
      <c r="B44" s="103">
        <f>SUM(B38:B43)</f>
        <v>6577651</v>
      </c>
      <c r="C44" s="103">
        <f>SUM(C38:C43)</f>
        <v>7380581</v>
      </c>
    </row>
  </sheetData>
  <mergeCells count="5">
    <mergeCell ref="A5:C5"/>
    <mergeCell ref="A1:C1"/>
    <mergeCell ref="A2:C2"/>
    <mergeCell ref="A3:C3"/>
    <mergeCell ref="A4:C4"/>
  </mergeCells>
  <printOptions/>
  <pageMargins left="1.2598425196850394" right="0.7480314960629921" top="0" bottom="0" header="0.5118110236220472" footer="0.5118110236220472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workbookViewId="0" topLeftCell="A19">
      <selection activeCell="B31" sqref="B31"/>
    </sheetView>
  </sheetViews>
  <sheetFormatPr defaultColWidth="9.140625" defaultRowHeight="12.75"/>
  <cols>
    <col min="1" max="1" width="4.7109375" style="0" customWidth="1"/>
    <col min="2" max="2" width="46.421875" style="0" customWidth="1"/>
    <col min="3" max="3" width="21.8515625" style="318" customWidth="1"/>
    <col min="4" max="4" width="22.28125" style="318" customWidth="1"/>
  </cols>
  <sheetData>
    <row r="1" spans="1:4" ht="23.25">
      <c r="A1" s="6"/>
      <c r="B1" s="6"/>
      <c r="C1" s="75"/>
      <c r="D1" s="319" t="s">
        <v>640</v>
      </c>
    </row>
    <row r="2" spans="1:4" ht="23.25">
      <c r="A2" s="350" t="s">
        <v>701</v>
      </c>
      <c r="B2" s="350"/>
      <c r="C2" s="350"/>
      <c r="D2" s="350"/>
    </row>
    <row r="3" spans="1:4" ht="23.25">
      <c r="A3" s="350" t="s">
        <v>702</v>
      </c>
      <c r="B3" s="350"/>
      <c r="C3" s="350"/>
      <c r="D3" s="350"/>
    </row>
    <row r="4" spans="1:4" ht="24" thickBot="1">
      <c r="A4" s="350" t="s">
        <v>567</v>
      </c>
      <c r="B4" s="350"/>
      <c r="C4" s="350"/>
      <c r="D4" s="350"/>
    </row>
    <row r="5" spans="1:4" ht="12.75">
      <c r="A5" s="387" t="s">
        <v>540</v>
      </c>
      <c r="B5" s="388"/>
      <c r="C5" s="390" t="s">
        <v>724</v>
      </c>
      <c r="D5" s="390" t="s">
        <v>725</v>
      </c>
    </row>
    <row r="6" spans="1:4" ht="12.75">
      <c r="A6" s="389"/>
      <c r="B6" s="376"/>
      <c r="C6" s="391"/>
      <c r="D6" s="391"/>
    </row>
    <row r="7" spans="1:4" ht="23.25">
      <c r="A7" s="400"/>
      <c r="B7" s="311" t="s">
        <v>703</v>
      </c>
      <c r="C7" s="316">
        <v>5404004</v>
      </c>
      <c r="D7" s="401">
        <v>5831212</v>
      </c>
    </row>
    <row r="8" spans="1:4" ht="23.25">
      <c r="A8" s="400"/>
      <c r="B8" s="312" t="s">
        <v>704</v>
      </c>
      <c r="C8" s="320">
        <f>SUM(C7)</f>
        <v>5404004</v>
      </c>
      <c r="D8" s="320">
        <f>SUM(D7)</f>
        <v>5831212</v>
      </c>
    </row>
    <row r="9" spans="1:4" ht="23.25">
      <c r="A9" s="400"/>
      <c r="B9" s="303" t="s">
        <v>705</v>
      </c>
      <c r="C9" s="316">
        <v>283798.2</v>
      </c>
      <c r="D9" s="401">
        <v>9025379.25</v>
      </c>
    </row>
    <row r="10" spans="1:4" ht="23.25">
      <c r="A10" s="400"/>
      <c r="B10" s="303" t="s">
        <v>706</v>
      </c>
      <c r="C10" s="316">
        <v>24639</v>
      </c>
      <c r="D10" s="401">
        <v>16622</v>
      </c>
    </row>
    <row r="11" spans="1:4" ht="23.25">
      <c r="A11" s="400"/>
      <c r="B11" s="303" t="s">
        <v>604</v>
      </c>
      <c r="C11" s="316">
        <v>83321.37</v>
      </c>
      <c r="D11" s="401">
        <v>107425.55</v>
      </c>
    </row>
    <row r="12" spans="1:4" ht="23.25">
      <c r="A12" s="400"/>
      <c r="B12" s="303" t="s">
        <v>642</v>
      </c>
      <c r="C12" s="316">
        <v>0</v>
      </c>
      <c r="D12" s="401">
        <v>0</v>
      </c>
    </row>
    <row r="13" spans="1:4" ht="23.25">
      <c r="A13" s="400"/>
      <c r="B13" s="303" t="s">
        <v>607</v>
      </c>
      <c r="C13" s="316">
        <v>0</v>
      </c>
      <c r="D13" s="401">
        <v>0</v>
      </c>
    </row>
    <row r="14" spans="1:4" ht="23.25">
      <c r="A14" s="400"/>
      <c r="B14" s="303" t="s">
        <v>606</v>
      </c>
      <c r="C14" s="316">
        <v>461280</v>
      </c>
      <c r="D14" s="401">
        <v>71766</v>
      </c>
    </row>
    <row r="15" spans="1:4" ht="23.25">
      <c r="A15" s="400"/>
      <c r="B15" s="303" t="s">
        <v>707</v>
      </c>
      <c r="C15" s="316">
        <v>8449867.75</v>
      </c>
      <c r="D15" s="401">
        <v>0</v>
      </c>
    </row>
    <row r="16" spans="1:4" ht="23.25">
      <c r="A16" s="400"/>
      <c r="B16" s="312" t="s">
        <v>708</v>
      </c>
      <c r="C16" s="320">
        <f>SUM(C9:C15)</f>
        <v>9302906.32</v>
      </c>
      <c r="D16" s="320">
        <f>SUM(D9:D15)</f>
        <v>9221192.8</v>
      </c>
    </row>
    <row r="17" spans="1:4" ht="23.25">
      <c r="A17" s="400"/>
      <c r="B17" s="312" t="s">
        <v>709</v>
      </c>
      <c r="C17" s="320">
        <f>C8+C16</f>
        <v>14706910.32</v>
      </c>
      <c r="D17" s="402">
        <f>D8+D16</f>
        <v>15052404.8</v>
      </c>
    </row>
    <row r="18" spans="1:4" ht="23.25">
      <c r="A18" s="400"/>
      <c r="B18" s="303" t="s">
        <v>710</v>
      </c>
      <c r="C18" s="316">
        <v>421144.33</v>
      </c>
      <c r="D18" s="401">
        <v>1593826.66</v>
      </c>
    </row>
    <row r="19" spans="1:4" ht="23.25">
      <c r="A19" s="400"/>
      <c r="B19" s="303" t="s">
        <v>711</v>
      </c>
      <c r="C19" s="316">
        <v>3006655</v>
      </c>
      <c r="D19" s="401">
        <v>2680208</v>
      </c>
    </row>
    <row r="20" spans="1:4" ht="23.25">
      <c r="A20" s="400"/>
      <c r="B20" s="303" t="s">
        <v>712</v>
      </c>
      <c r="C20" s="317">
        <v>106380</v>
      </c>
      <c r="D20" s="401">
        <v>100440</v>
      </c>
    </row>
    <row r="21" spans="1:4" ht="23.25">
      <c r="A21" s="400"/>
      <c r="B21" s="303" t="s">
        <v>713</v>
      </c>
      <c r="C21" s="316">
        <v>372340</v>
      </c>
      <c r="D21" s="401">
        <v>456480</v>
      </c>
    </row>
    <row r="22" spans="1:4" ht="23.25">
      <c r="A22" s="400"/>
      <c r="B22" s="303" t="s">
        <v>714</v>
      </c>
      <c r="C22" s="317">
        <v>650808.5</v>
      </c>
      <c r="D22" s="401">
        <v>560001</v>
      </c>
    </row>
    <row r="23" spans="1:4" ht="23.25">
      <c r="A23" s="400"/>
      <c r="B23" s="303" t="s">
        <v>715</v>
      </c>
      <c r="C23" s="316">
        <v>1451975</v>
      </c>
      <c r="D23" s="401">
        <v>1219522</v>
      </c>
    </row>
    <row r="24" spans="1:4" ht="23.25">
      <c r="A24" s="400"/>
      <c r="B24" s="303" t="s">
        <v>716</v>
      </c>
      <c r="C24" s="316">
        <v>1083781.8</v>
      </c>
      <c r="D24" s="401">
        <v>1042372.46</v>
      </c>
    </row>
    <row r="25" spans="1:4" ht="23.25">
      <c r="A25" s="400"/>
      <c r="B25" s="303" t="s">
        <v>717</v>
      </c>
      <c r="C25" s="316">
        <v>114913.94</v>
      </c>
      <c r="D25" s="401">
        <v>135246.13</v>
      </c>
    </row>
    <row r="26" spans="1:4" ht="23.25">
      <c r="A26" s="400"/>
      <c r="B26" s="303" t="s">
        <v>718</v>
      </c>
      <c r="C26" s="316">
        <v>1568246.32</v>
      </c>
      <c r="D26" s="401">
        <v>1517692.59</v>
      </c>
    </row>
    <row r="27" spans="1:4" ht="23.25">
      <c r="A27" s="400"/>
      <c r="B27" s="303" t="s">
        <v>719</v>
      </c>
      <c r="C27" s="316">
        <v>802930</v>
      </c>
      <c r="D27" s="401">
        <v>251800</v>
      </c>
    </row>
    <row r="28" spans="1:4" ht="23.25">
      <c r="A28" s="400"/>
      <c r="B28" s="303" t="s">
        <v>720</v>
      </c>
      <c r="C28" s="316">
        <v>734000</v>
      </c>
      <c r="D28" s="401">
        <v>2284300</v>
      </c>
    </row>
    <row r="29" spans="1:4" ht="23.25">
      <c r="A29" s="400"/>
      <c r="B29" s="303" t="s">
        <v>237</v>
      </c>
      <c r="C29" s="316">
        <v>20000</v>
      </c>
      <c r="D29" s="401">
        <v>162925</v>
      </c>
    </row>
    <row r="30" spans="1:4" ht="23.25">
      <c r="A30" s="400"/>
      <c r="B30" s="312" t="s">
        <v>721</v>
      </c>
      <c r="C30" s="320">
        <f>SUM(C18:C29)</f>
        <v>10333174.89</v>
      </c>
      <c r="D30" s="402">
        <f>SUM(D18:D29)</f>
        <v>12004813.84</v>
      </c>
    </row>
    <row r="31" spans="1:4" ht="23.25">
      <c r="A31" s="400"/>
      <c r="B31" s="303" t="s">
        <v>641</v>
      </c>
      <c r="C31" s="316">
        <v>1987000</v>
      </c>
      <c r="D31" s="401">
        <v>0</v>
      </c>
    </row>
    <row r="32" spans="1:4" ht="23.25">
      <c r="A32" s="400"/>
      <c r="B32" s="315" t="s">
        <v>726</v>
      </c>
      <c r="C32" s="320">
        <f>SUM(C31)</f>
        <v>1987000</v>
      </c>
      <c r="D32" s="402">
        <f>SUM(D31)</f>
        <v>0</v>
      </c>
    </row>
    <row r="33" spans="1:4" ht="23.25">
      <c r="A33" s="400"/>
      <c r="B33" s="312" t="s">
        <v>722</v>
      </c>
      <c r="C33" s="320">
        <f>C30+C32</f>
        <v>12320174.89</v>
      </c>
      <c r="D33" s="402">
        <f>D30+D32</f>
        <v>12004813.84</v>
      </c>
    </row>
    <row r="34" spans="1:4" ht="23.25">
      <c r="A34" s="400"/>
      <c r="B34" s="312" t="s">
        <v>723</v>
      </c>
      <c r="C34" s="403">
        <f>C17-C33</f>
        <v>2386735.4299999997</v>
      </c>
      <c r="D34" s="402">
        <f>D17-D33</f>
        <v>3047590.960000001</v>
      </c>
    </row>
  </sheetData>
  <mergeCells count="6">
    <mergeCell ref="A2:D2"/>
    <mergeCell ref="A3:D3"/>
    <mergeCell ref="A4:D4"/>
    <mergeCell ref="A5:B6"/>
    <mergeCell ref="D5:D6"/>
    <mergeCell ref="C5:C6"/>
  </mergeCells>
  <printOptions/>
  <pageMargins left="0.51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BreakPreview" zoomScaleSheetLayoutView="100" workbookViewId="0" topLeftCell="A1">
      <selection activeCell="A11" sqref="A11"/>
    </sheetView>
  </sheetViews>
  <sheetFormatPr defaultColWidth="9.140625" defaultRowHeight="12.75"/>
  <cols>
    <col min="1" max="1" width="49.28125" style="49" customWidth="1"/>
    <col min="2" max="2" width="24.140625" style="96" customWidth="1"/>
    <col min="3" max="16384" width="9.140625" style="49" customWidth="1"/>
  </cols>
  <sheetData>
    <row r="1" spans="1:2" ht="23.25">
      <c r="A1" s="392" t="s">
        <v>727</v>
      </c>
      <c r="B1" s="392"/>
    </row>
    <row r="2" spans="1:2" ht="23.25">
      <c r="A2" s="321" t="s">
        <v>643</v>
      </c>
      <c r="B2" s="321"/>
    </row>
    <row r="3" spans="1:2" ht="23.25">
      <c r="A3" s="321" t="s">
        <v>728</v>
      </c>
      <c r="B3" s="321"/>
    </row>
    <row r="4" spans="1:2" ht="23.25">
      <c r="A4" s="321" t="s">
        <v>567</v>
      </c>
      <c r="B4" s="321"/>
    </row>
    <row r="5" spans="1:2" ht="23.25">
      <c r="A5" s="385" t="s">
        <v>667</v>
      </c>
      <c r="B5" s="385"/>
    </row>
    <row r="6" spans="1:2" s="154" customFormat="1" ht="23.25">
      <c r="A6" s="269" t="s">
        <v>26</v>
      </c>
      <c r="B6" s="207" t="s">
        <v>10</v>
      </c>
    </row>
    <row r="7" spans="1:2" ht="23.25">
      <c r="A7" s="272" t="s">
        <v>442</v>
      </c>
      <c r="B7" s="90"/>
    </row>
    <row r="8" spans="1:2" ht="23.25">
      <c r="A8" s="114" t="s">
        <v>729</v>
      </c>
      <c r="B8" s="90">
        <f>14706910.32-5404004</f>
        <v>9302906.32</v>
      </c>
    </row>
    <row r="9" spans="1:2" ht="23.25">
      <c r="A9" s="114" t="s">
        <v>730</v>
      </c>
      <c r="B9" s="90">
        <f>463159+2074+2488.8+7500</f>
        <v>475221.8</v>
      </c>
    </row>
    <row r="10" spans="1:2" ht="23.25">
      <c r="A10" s="114" t="s">
        <v>731</v>
      </c>
      <c r="B10" s="90">
        <v>3964247</v>
      </c>
    </row>
    <row r="11" spans="1:2" ht="23.25">
      <c r="A11" s="114" t="s">
        <v>732</v>
      </c>
      <c r="B11" s="90">
        <v>5404004</v>
      </c>
    </row>
    <row r="12" spans="1:2" ht="23.25">
      <c r="A12" s="114" t="s">
        <v>733</v>
      </c>
      <c r="B12" s="90">
        <v>0</v>
      </c>
    </row>
    <row r="13" spans="1:2" ht="23.25">
      <c r="A13" s="167" t="s">
        <v>222</v>
      </c>
      <c r="B13" s="103">
        <f>SUM(B8:B12)</f>
        <v>19146379.12</v>
      </c>
    </row>
    <row r="14" spans="1:2" ht="23.25">
      <c r="A14" s="272" t="s">
        <v>223</v>
      </c>
      <c r="B14" s="90"/>
    </row>
    <row r="15" spans="1:2" ht="23.25">
      <c r="A15" s="114" t="s">
        <v>734</v>
      </c>
      <c r="B15" s="90">
        <v>10333174.89</v>
      </c>
    </row>
    <row r="16" spans="1:2" ht="23.25">
      <c r="A16" s="114" t="s">
        <v>735</v>
      </c>
      <c r="B16" s="90">
        <f>463159+2074+2488.8+7500</f>
        <v>475221.8</v>
      </c>
    </row>
    <row r="17" spans="1:2" ht="23.25">
      <c r="A17" s="114" t="s">
        <v>736</v>
      </c>
      <c r="B17" s="90">
        <v>1987000</v>
      </c>
    </row>
    <row r="18" spans="1:2" ht="23.25">
      <c r="A18" s="114" t="s">
        <v>737</v>
      </c>
      <c r="B18" s="90">
        <v>3964247</v>
      </c>
    </row>
    <row r="19" spans="1:2" ht="23.25">
      <c r="A19" s="114" t="s">
        <v>738</v>
      </c>
      <c r="B19" s="90">
        <v>0</v>
      </c>
    </row>
    <row r="20" spans="1:2" ht="23.25">
      <c r="A20" s="167" t="s">
        <v>227</v>
      </c>
      <c r="B20" s="103">
        <f>SUM(B15:B19)</f>
        <v>16759643.690000001</v>
      </c>
    </row>
    <row r="21" spans="1:2" ht="23.25">
      <c r="A21" s="272" t="s">
        <v>739</v>
      </c>
      <c r="B21" s="103">
        <f>B13-B20</f>
        <v>2386735.4299999997</v>
      </c>
    </row>
  </sheetData>
  <mergeCells count="5">
    <mergeCell ref="A5:B5"/>
    <mergeCell ref="A1:B1"/>
    <mergeCell ref="A2:B2"/>
    <mergeCell ref="A3:B3"/>
    <mergeCell ref="A4:B4"/>
  </mergeCells>
  <printOptions/>
  <pageMargins left="1.34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4">
      <selection activeCell="C12" sqref="C12"/>
    </sheetView>
  </sheetViews>
  <sheetFormatPr defaultColWidth="9.140625" defaultRowHeight="21.75" customHeight="1"/>
  <cols>
    <col min="1" max="3" width="9.140625" style="79" customWidth="1"/>
    <col min="4" max="4" width="25.8515625" style="79" customWidth="1"/>
    <col min="5" max="5" width="9.140625" style="79" customWidth="1"/>
    <col min="6" max="6" width="19.421875" style="79" customWidth="1"/>
    <col min="7" max="7" width="20.00390625" style="79" customWidth="1"/>
    <col min="8" max="8" width="8.8515625" style="79" customWidth="1"/>
    <col min="9" max="9" width="14.421875" style="79" bestFit="1" customWidth="1"/>
    <col min="10" max="10" width="16.28125" style="79" customWidth="1"/>
    <col min="11" max="16384" width="9.140625" style="79" customWidth="1"/>
  </cols>
  <sheetData>
    <row r="1" spans="1:7" ht="21.75" customHeight="1">
      <c r="A1" s="321" t="s">
        <v>245</v>
      </c>
      <c r="B1" s="321"/>
      <c r="C1" s="321"/>
      <c r="D1" s="321"/>
      <c r="E1" s="321"/>
      <c r="F1" s="321"/>
      <c r="G1" s="321"/>
    </row>
    <row r="2" spans="1:7" ht="21.75" customHeight="1">
      <c r="A2" s="321" t="s">
        <v>595</v>
      </c>
      <c r="B2" s="321"/>
      <c r="C2" s="321"/>
      <c r="D2" s="321"/>
      <c r="E2" s="321"/>
      <c r="F2" s="321"/>
      <c r="G2" s="321"/>
    </row>
    <row r="3" spans="1:7" ht="21.75" customHeight="1">
      <c r="A3" s="322" t="s">
        <v>601</v>
      </c>
      <c r="B3" s="322"/>
      <c r="C3" s="322"/>
      <c r="D3" s="322"/>
      <c r="E3" s="322"/>
      <c r="F3" s="322"/>
      <c r="G3" s="322"/>
    </row>
    <row r="4" spans="1:7" ht="21.75" customHeight="1">
      <c r="A4" s="331" t="s">
        <v>26</v>
      </c>
      <c r="B4" s="298"/>
      <c r="C4" s="298"/>
      <c r="D4" s="332"/>
      <c r="E4" s="300" t="s">
        <v>27</v>
      </c>
      <c r="F4" s="300" t="s">
        <v>29</v>
      </c>
      <c r="G4" s="300" t="s">
        <v>30</v>
      </c>
    </row>
    <row r="5" spans="1:7" ht="21.75" customHeight="1">
      <c r="A5" s="333"/>
      <c r="B5" s="299"/>
      <c r="C5" s="299"/>
      <c r="D5" s="334"/>
      <c r="E5" s="301"/>
      <c r="F5" s="301"/>
      <c r="G5" s="301"/>
    </row>
    <row r="6" spans="1:7" s="49" customFormat="1" ht="21.75" customHeight="1">
      <c r="A6" s="250" t="s">
        <v>31</v>
      </c>
      <c r="B6" s="251"/>
      <c r="C6" s="251"/>
      <c r="D6" s="252"/>
      <c r="E6" s="146" t="s">
        <v>32</v>
      </c>
      <c r="F6" s="163">
        <v>400</v>
      </c>
      <c r="G6" s="253"/>
    </row>
    <row r="7" spans="1:7" s="49" customFormat="1" ht="21.75" customHeight="1">
      <c r="A7" s="115" t="s">
        <v>246</v>
      </c>
      <c r="B7" s="123"/>
      <c r="C7" s="123"/>
      <c r="D7" s="124"/>
      <c r="E7" s="125" t="s">
        <v>33</v>
      </c>
      <c r="F7" s="102">
        <v>2820436.86</v>
      </c>
      <c r="G7" s="126"/>
    </row>
    <row r="8" spans="1:7" s="49" customFormat="1" ht="21.75" customHeight="1">
      <c r="A8" s="115" t="s">
        <v>247</v>
      </c>
      <c r="B8" s="123"/>
      <c r="C8" s="123"/>
      <c r="D8" s="124"/>
      <c r="E8" s="125" t="s">
        <v>596</v>
      </c>
      <c r="F8" s="102">
        <v>272113.7</v>
      </c>
      <c r="G8" s="126"/>
    </row>
    <row r="9" spans="1:7" s="49" customFormat="1" ht="21.75" customHeight="1">
      <c r="A9" s="115" t="s">
        <v>597</v>
      </c>
      <c r="B9" s="123"/>
      <c r="C9" s="123"/>
      <c r="D9" s="124"/>
      <c r="E9" s="125">
        <v>22</v>
      </c>
      <c r="F9" s="102">
        <v>7685630.08</v>
      </c>
      <c r="G9" s="126"/>
    </row>
    <row r="10" spans="1:7" s="49" customFormat="1" ht="21.75" customHeight="1">
      <c r="A10" s="115" t="s">
        <v>598</v>
      </c>
      <c r="B10" s="123"/>
      <c r="C10" s="123"/>
      <c r="D10" s="124"/>
      <c r="E10" s="125">
        <v>21</v>
      </c>
      <c r="F10" s="102">
        <v>3862395.89</v>
      </c>
      <c r="G10" s="126"/>
    </row>
    <row r="11" spans="1:9" ht="21.75" customHeight="1">
      <c r="A11" s="115" t="s">
        <v>48</v>
      </c>
      <c r="B11" s="123"/>
      <c r="C11" s="123"/>
      <c r="D11" s="124"/>
      <c r="E11" s="127">
        <v>700</v>
      </c>
      <c r="F11" s="102"/>
      <c r="G11" s="126">
        <v>8059113.58</v>
      </c>
      <c r="I11" s="254"/>
    </row>
    <row r="12" spans="1:9" ht="21.75" customHeight="1">
      <c r="A12" s="115" t="s">
        <v>51</v>
      </c>
      <c r="B12" s="123"/>
      <c r="C12" s="123"/>
      <c r="D12" s="124"/>
      <c r="E12" s="127">
        <v>704</v>
      </c>
      <c r="F12" s="102"/>
      <c r="G12" s="126">
        <v>4860411.3</v>
      </c>
      <c r="I12" s="254"/>
    </row>
    <row r="13" spans="1:9" ht="21.75" customHeight="1">
      <c r="A13" s="115" t="s">
        <v>575</v>
      </c>
      <c r="B13" s="123"/>
      <c r="C13" s="123"/>
      <c r="D13" s="124"/>
      <c r="E13" s="127">
        <v>7600</v>
      </c>
      <c r="F13" s="102"/>
      <c r="G13" s="126">
        <v>207885</v>
      </c>
      <c r="I13" s="254"/>
    </row>
    <row r="14" spans="1:7" ht="21.75" customHeight="1">
      <c r="A14" s="115" t="s">
        <v>263</v>
      </c>
      <c r="B14" s="123"/>
      <c r="C14" s="123"/>
      <c r="D14" s="124"/>
      <c r="E14" s="127">
        <v>7600</v>
      </c>
      <c r="F14" s="102"/>
      <c r="G14" s="126">
        <v>538860</v>
      </c>
    </row>
    <row r="15" spans="1:7" ht="21.75" customHeight="1">
      <c r="A15" s="115" t="s">
        <v>576</v>
      </c>
      <c r="B15" s="123"/>
      <c r="C15" s="123"/>
      <c r="D15" s="124"/>
      <c r="E15" s="127"/>
      <c r="F15" s="102"/>
      <c r="G15" s="126">
        <v>186500</v>
      </c>
    </row>
    <row r="16" spans="1:7" ht="21.75" customHeight="1">
      <c r="A16" s="115" t="s">
        <v>251</v>
      </c>
      <c r="B16" s="123"/>
      <c r="C16" s="123"/>
      <c r="D16" s="124"/>
      <c r="E16" s="127">
        <v>903</v>
      </c>
      <c r="F16" s="102"/>
      <c r="G16" s="126">
        <v>463159</v>
      </c>
    </row>
    <row r="17" spans="1:7" ht="21.75" customHeight="1">
      <c r="A17" s="115" t="s">
        <v>252</v>
      </c>
      <c r="B17" s="123"/>
      <c r="C17" s="123"/>
      <c r="D17" s="124"/>
      <c r="E17" s="127"/>
      <c r="F17" s="102"/>
      <c r="G17" s="126">
        <v>40871.15</v>
      </c>
    </row>
    <row r="18" spans="1:7" ht="21.75" customHeight="1">
      <c r="A18" s="115" t="s">
        <v>253</v>
      </c>
      <c r="B18" s="123"/>
      <c r="C18" s="123"/>
      <c r="D18" s="124"/>
      <c r="E18" s="127">
        <v>701</v>
      </c>
      <c r="F18" s="102"/>
      <c r="G18" s="126">
        <v>709313.7</v>
      </c>
    </row>
    <row r="19" spans="1:9" ht="21.75" customHeight="1">
      <c r="A19" s="115" t="s">
        <v>599</v>
      </c>
      <c r="B19" s="123"/>
      <c r="C19" s="123"/>
      <c r="D19" s="124"/>
      <c r="E19" s="128"/>
      <c r="F19" s="102">
        <v>437200</v>
      </c>
      <c r="G19" s="126"/>
      <c r="I19" s="255"/>
    </row>
    <row r="20" spans="1:9" ht="21.75" customHeight="1">
      <c r="A20" s="115" t="s">
        <v>600</v>
      </c>
      <c r="B20" s="123"/>
      <c r="C20" s="123"/>
      <c r="D20" s="124"/>
      <c r="E20" s="128"/>
      <c r="F20" s="102"/>
      <c r="G20" s="126">
        <v>2074</v>
      </c>
      <c r="I20" s="95"/>
    </row>
    <row r="21" spans="1:9" ht="21.75" customHeight="1">
      <c r="A21" s="115" t="s">
        <v>579</v>
      </c>
      <c r="B21" s="123"/>
      <c r="C21" s="123"/>
      <c r="D21" s="124"/>
      <c r="E21" s="128"/>
      <c r="F21" s="102"/>
      <c r="G21" s="126">
        <v>2488.8</v>
      </c>
      <c r="I21" s="95"/>
    </row>
    <row r="22" spans="1:10" ht="21.75" customHeight="1">
      <c r="A22" s="115" t="s">
        <v>288</v>
      </c>
      <c r="B22" s="123"/>
      <c r="C22" s="123"/>
      <c r="D22" s="124"/>
      <c r="E22" s="128"/>
      <c r="F22" s="102"/>
      <c r="G22" s="126">
        <v>7500</v>
      </c>
      <c r="J22" s="256"/>
    </row>
    <row r="23" spans="1:10" ht="21.75" customHeight="1">
      <c r="A23" s="115"/>
      <c r="B23" s="123"/>
      <c r="C23" s="123"/>
      <c r="D23" s="124"/>
      <c r="E23" s="127"/>
      <c r="F23" s="102"/>
      <c r="G23" s="126"/>
      <c r="J23" s="256"/>
    </row>
    <row r="24" spans="1:9" ht="21.75" customHeight="1">
      <c r="A24" s="115"/>
      <c r="B24" s="123"/>
      <c r="C24" s="123"/>
      <c r="D24" s="124"/>
      <c r="E24" s="128"/>
      <c r="F24" s="166"/>
      <c r="G24" s="257"/>
      <c r="I24" s="95"/>
    </row>
    <row r="25" spans="1:9" s="49" customFormat="1" ht="21.75" customHeight="1">
      <c r="A25" s="84"/>
      <c r="B25" s="85"/>
      <c r="C25" s="86"/>
      <c r="D25" s="87"/>
      <c r="E25" s="88"/>
      <c r="F25" s="89">
        <f>SUM(F6:F24)</f>
        <v>15078176.530000001</v>
      </c>
      <c r="G25" s="90">
        <f>SUM(G11:G24)</f>
        <v>15078176.53</v>
      </c>
      <c r="I25" s="95"/>
    </row>
    <row r="26" spans="1:9" s="49" customFormat="1" ht="21.75" customHeight="1">
      <c r="A26" s="81"/>
      <c r="B26" s="81"/>
      <c r="C26" s="117"/>
      <c r="D26" s="117"/>
      <c r="E26" s="81"/>
      <c r="F26" s="118"/>
      <c r="G26" s="118"/>
      <c r="I26" s="95"/>
    </row>
    <row r="27" spans="1:9" s="49" customFormat="1" ht="21.75" customHeight="1">
      <c r="A27" s="302" t="s">
        <v>243</v>
      </c>
      <c r="B27" s="302"/>
      <c r="C27" s="302"/>
      <c r="D27" s="330" t="s">
        <v>244</v>
      </c>
      <c r="E27" s="330"/>
      <c r="F27" s="330" t="s">
        <v>244</v>
      </c>
      <c r="G27" s="330"/>
      <c r="I27" s="95"/>
    </row>
    <row r="28" spans="1:9" s="49" customFormat="1" ht="21.75" customHeight="1">
      <c r="A28" s="258"/>
      <c r="B28" s="258"/>
      <c r="C28" s="258"/>
      <c r="D28" s="176"/>
      <c r="E28" s="176"/>
      <c r="F28" s="176"/>
      <c r="G28" s="176"/>
      <c r="I28" s="95"/>
    </row>
    <row r="29" spans="6:10" s="49" customFormat="1" ht="16.5" customHeight="1">
      <c r="F29" s="95"/>
      <c r="G29" s="95"/>
      <c r="J29" s="95"/>
    </row>
    <row r="30" spans="1:10" s="49" customFormat="1" ht="21.75" customHeight="1">
      <c r="A30" s="328" t="s">
        <v>241</v>
      </c>
      <c r="B30" s="328"/>
      <c r="C30" s="328"/>
      <c r="D30" s="328" t="s">
        <v>242</v>
      </c>
      <c r="E30" s="328"/>
      <c r="F30" s="328" t="s">
        <v>289</v>
      </c>
      <c r="G30" s="328"/>
      <c r="H30" s="154"/>
      <c r="J30" s="95"/>
    </row>
    <row r="31" spans="1:8" s="49" customFormat="1" ht="21.75" customHeight="1">
      <c r="A31" s="328" t="s">
        <v>11</v>
      </c>
      <c r="B31" s="328"/>
      <c r="C31" s="328"/>
      <c r="D31" s="328" t="s">
        <v>12</v>
      </c>
      <c r="E31" s="328"/>
      <c r="F31" s="328" t="s">
        <v>290</v>
      </c>
      <c r="G31" s="328"/>
      <c r="H31" s="154"/>
    </row>
    <row r="32" spans="4:7" ht="21.75" customHeight="1">
      <c r="D32" s="328"/>
      <c r="E32" s="328"/>
      <c r="F32" s="328"/>
      <c r="G32" s="328"/>
    </row>
  </sheetData>
  <mergeCells count="18">
    <mergeCell ref="A31:C31"/>
    <mergeCell ref="D31:E31"/>
    <mergeCell ref="F31:G31"/>
    <mergeCell ref="D32:E32"/>
    <mergeCell ref="F32:G32"/>
    <mergeCell ref="A27:C27"/>
    <mergeCell ref="D27:E27"/>
    <mergeCell ref="F27:G27"/>
    <mergeCell ref="A30:C30"/>
    <mergeCell ref="D30:E30"/>
    <mergeCell ref="F30:G30"/>
    <mergeCell ref="A1:G1"/>
    <mergeCell ref="A2:G2"/>
    <mergeCell ref="A3:G3"/>
    <mergeCell ref="A4:D5"/>
    <mergeCell ref="E4:E5"/>
    <mergeCell ref="F4:F5"/>
    <mergeCell ref="G4:G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Normal="75" zoomScaleSheetLayoutView="100" workbookViewId="0" topLeftCell="A28">
      <selection activeCell="D13" sqref="D13"/>
    </sheetView>
  </sheetViews>
  <sheetFormatPr defaultColWidth="9.140625" defaultRowHeight="21.75" customHeight="1"/>
  <cols>
    <col min="1" max="2" width="9.140625" style="79" customWidth="1"/>
    <col min="3" max="3" width="12.00390625" style="79" customWidth="1"/>
    <col min="4" max="4" width="25.8515625" style="79" customWidth="1"/>
    <col min="5" max="5" width="9.140625" style="79" customWidth="1"/>
    <col min="6" max="6" width="19.421875" style="79" customWidth="1"/>
    <col min="7" max="7" width="20.00390625" style="79" customWidth="1"/>
    <col min="8" max="8" width="8.8515625" style="79" customWidth="1"/>
    <col min="9" max="9" width="14.421875" style="79" bestFit="1" customWidth="1"/>
    <col min="10" max="10" width="16.28125" style="79" customWidth="1"/>
    <col min="11" max="16384" width="9.140625" style="79" customWidth="1"/>
  </cols>
  <sheetData>
    <row r="1" spans="1:7" ht="21.75" customHeight="1">
      <c r="A1" s="321" t="s">
        <v>245</v>
      </c>
      <c r="B1" s="321"/>
      <c r="C1" s="321"/>
      <c r="D1" s="321"/>
      <c r="E1" s="321"/>
      <c r="F1" s="321"/>
      <c r="G1" s="321"/>
    </row>
    <row r="2" spans="1:7" ht="21.75" customHeight="1">
      <c r="A2" s="321" t="s">
        <v>28</v>
      </c>
      <c r="B2" s="321"/>
      <c r="C2" s="321"/>
      <c r="D2" s="321"/>
      <c r="E2" s="321"/>
      <c r="F2" s="321"/>
      <c r="G2" s="321"/>
    </row>
    <row r="3" spans="1:7" ht="21.75" customHeight="1">
      <c r="A3" s="322" t="s">
        <v>324</v>
      </c>
      <c r="B3" s="322"/>
      <c r="C3" s="322"/>
      <c r="D3" s="322"/>
      <c r="E3" s="322"/>
      <c r="F3" s="322"/>
      <c r="G3" s="322"/>
    </row>
    <row r="4" spans="1:7" ht="21.75" customHeight="1">
      <c r="A4" s="331" t="s">
        <v>26</v>
      </c>
      <c r="B4" s="298"/>
      <c r="C4" s="298"/>
      <c r="D4" s="332"/>
      <c r="E4" s="300" t="s">
        <v>27</v>
      </c>
      <c r="F4" s="300" t="s">
        <v>29</v>
      </c>
      <c r="G4" s="300" t="s">
        <v>30</v>
      </c>
    </row>
    <row r="5" spans="1:7" ht="21.75" customHeight="1">
      <c r="A5" s="333"/>
      <c r="B5" s="299"/>
      <c r="C5" s="299"/>
      <c r="D5" s="334"/>
      <c r="E5" s="301"/>
      <c r="F5" s="301"/>
      <c r="G5" s="301"/>
    </row>
    <row r="6" spans="1:7" ht="21.75" customHeight="1">
      <c r="A6" s="152" t="s">
        <v>31</v>
      </c>
      <c r="B6" s="149"/>
      <c r="C6" s="149"/>
      <c r="D6" s="150"/>
      <c r="E6" s="146" t="s">
        <v>32</v>
      </c>
      <c r="F6" s="153">
        <v>400</v>
      </c>
      <c r="G6" s="151"/>
    </row>
    <row r="7" spans="1:7" ht="21.75" customHeight="1">
      <c r="A7" s="115" t="s">
        <v>246</v>
      </c>
      <c r="B7" s="123"/>
      <c r="C7" s="123"/>
      <c r="D7" s="124"/>
      <c r="E7" s="125" t="s">
        <v>33</v>
      </c>
      <c r="F7" s="102">
        <v>2820436.86</v>
      </c>
      <c r="G7" s="126"/>
    </row>
    <row r="8" spans="1:7" ht="21.75" customHeight="1">
      <c r="A8" s="115" t="s">
        <v>247</v>
      </c>
      <c r="B8" s="123"/>
      <c r="C8" s="123"/>
      <c r="D8" s="124"/>
      <c r="E8" s="125">
        <v>22</v>
      </c>
      <c r="F8" s="102">
        <v>272113.7</v>
      </c>
      <c r="G8" s="126"/>
    </row>
    <row r="9" spans="1:9" ht="21.75" customHeight="1">
      <c r="A9" s="115" t="s">
        <v>248</v>
      </c>
      <c r="B9" s="123"/>
      <c r="C9" s="123"/>
      <c r="D9" s="124"/>
      <c r="E9" s="125">
        <v>21</v>
      </c>
      <c r="F9" s="102">
        <v>0</v>
      </c>
      <c r="G9" s="126"/>
      <c r="I9" s="49"/>
    </row>
    <row r="10" spans="1:9" ht="21.75" customHeight="1">
      <c r="A10" s="115" t="s">
        <v>262</v>
      </c>
      <c r="B10" s="123"/>
      <c r="C10" s="123"/>
      <c r="D10" s="124"/>
      <c r="E10" s="125">
        <v>22</v>
      </c>
      <c r="F10" s="102">
        <v>7685630.08</v>
      </c>
      <c r="G10" s="126"/>
      <c r="I10" s="95"/>
    </row>
    <row r="11" spans="1:9" ht="21.75" customHeight="1">
      <c r="A11" s="115" t="s">
        <v>266</v>
      </c>
      <c r="B11" s="123"/>
      <c r="C11" s="123"/>
      <c r="D11" s="124"/>
      <c r="E11" s="125">
        <v>21</v>
      </c>
      <c r="F11" s="102">
        <v>3862395.89</v>
      </c>
      <c r="G11" s="126"/>
      <c r="I11" s="95"/>
    </row>
    <row r="12" spans="1:9" ht="21.75" customHeight="1">
      <c r="A12" s="115" t="s">
        <v>36</v>
      </c>
      <c r="B12" s="123"/>
      <c r="C12" s="123"/>
      <c r="D12" s="124"/>
      <c r="E12" s="125">
        <v>704</v>
      </c>
      <c r="F12" s="102">
        <v>0</v>
      </c>
      <c r="G12" s="126"/>
      <c r="I12" s="96"/>
    </row>
    <row r="13" spans="1:7" ht="21.75" customHeight="1">
      <c r="A13" s="115" t="s">
        <v>34</v>
      </c>
      <c r="B13" s="123"/>
      <c r="C13" s="123"/>
      <c r="D13" s="124"/>
      <c r="E13" s="125"/>
      <c r="F13" s="102">
        <v>0</v>
      </c>
      <c r="G13" s="126"/>
    </row>
    <row r="14" spans="1:7" ht="21.75" customHeight="1">
      <c r="A14" s="115" t="s">
        <v>47</v>
      </c>
      <c r="B14" s="123"/>
      <c r="C14" s="123"/>
      <c r="D14" s="124"/>
      <c r="E14" s="125" t="s">
        <v>249</v>
      </c>
      <c r="F14" s="102">
        <v>424749.33</v>
      </c>
      <c r="G14" s="126"/>
    </row>
    <row r="15" spans="1:9" ht="21.75" customHeight="1">
      <c r="A15" s="115" t="s">
        <v>37</v>
      </c>
      <c r="B15" s="123"/>
      <c r="C15" s="123"/>
      <c r="D15" s="124" t="s">
        <v>240</v>
      </c>
      <c r="E15" s="127">
        <v>5100</v>
      </c>
      <c r="F15" s="102">
        <v>3006655</v>
      </c>
      <c r="G15" s="126"/>
      <c r="I15" s="49"/>
    </row>
    <row r="16" spans="1:9" ht="21.75" customHeight="1">
      <c r="A16" s="115" t="s">
        <v>38</v>
      </c>
      <c r="B16" s="123"/>
      <c r="C16" s="123"/>
      <c r="D16" s="124"/>
      <c r="E16" s="127">
        <v>5120</v>
      </c>
      <c r="F16" s="102">
        <v>106380</v>
      </c>
      <c r="G16" s="126"/>
      <c r="I16" s="49"/>
    </row>
    <row r="17" spans="1:9" ht="21.75" customHeight="1">
      <c r="A17" s="115" t="s">
        <v>39</v>
      </c>
      <c r="B17" s="123"/>
      <c r="C17" s="123"/>
      <c r="D17" s="124"/>
      <c r="E17" s="127">
        <v>5130</v>
      </c>
      <c r="F17" s="102">
        <v>372340</v>
      </c>
      <c r="G17" s="126"/>
      <c r="I17" s="49"/>
    </row>
    <row r="18" spans="1:9" ht="21.75" customHeight="1">
      <c r="A18" s="115" t="s">
        <v>40</v>
      </c>
      <c r="B18" s="123"/>
      <c r="C18" s="123"/>
      <c r="D18" s="124"/>
      <c r="E18" s="127">
        <v>5200</v>
      </c>
      <c r="F18" s="102">
        <v>650808.5</v>
      </c>
      <c r="G18" s="126"/>
      <c r="I18" s="49"/>
    </row>
    <row r="19" spans="1:9" ht="21.75" customHeight="1">
      <c r="A19" s="115" t="s">
        <v>41</v>
      </c>
      <c r="B19" s="123"/>
      <c r="C19" s="123"/>
      <c r="D19" s="124"/>
      <c r="E19" s="127">
        <v>5250</v>
      </c>
      <c r="F19" s="102">
        <v>1451975</v>
      </c>
      <c r="G19" s="126"/>
      <c r="I19" s="49"/>
    </row>
    <row r="20" spans="1:9" ht="21.75" customHeight="1">
      <c r="A20" s="115" t="s">
        <v>42</v>
      </c>
      <c r="B20" s="123"/>
      <c r="C20" s="123"/>
      <c r="D20" s="124"/>
      <c r="E20" s="127">
        <v>5270</v>
      </c>
      <c r="F20" s="102">
        <v>1083781.8</v>
      </c>
      <c r="G20" s="126"/>
      <c r="I20" s="95"/>
    </row>
    <row r="21" spans="1:9" ht="21.75" customHeight="1">
      <c r="A21" s="115" t="s">
        <v>43</v>
      </c>
      <c r="B21" s="123"/>
      <c r="C21" s="123"/>
      <c r="D21" s="124"/>
      <c r="E21" s="127">
        <v>5300</v>
      </c>
      <c r="F21" s="102">
        <v>114913.94</v>
      </c>
      <c r="G21" s="126"/>
      <c r="I21" s="49"/>
    </row>
    <row r="22" spans="1:9" ht="21.75" customHeight="1">
      <c r="A22" s="115" t="s">
        <v>44</v>
      </c>
      <c r="B22" s="123"/>
      <c r="C22" s="123"/>
      <c r="D22" s="124"/>
      <c r="E22" s="127">
        <v>5400</v>
      </c>
      <c r="F22" s="102">
        <v>1568246.32</v>
      </c>
      <c r="G22" s="126"/>
      <c r="I22" s="49"/>
    </row>
    <row r="23" spans="1:9" ht="21.75" customHeight="1">
      <c r="A23" s="115" t="s">
        <v>271</v>
      </c>
      <c r="B23" s="123"/>
      <c r="C23" s="123"/>
      <c r="D23" s="124"/>
      <c r="E23" s="127"/>
      <c r="F23" s="102">
        <f>114000+113500+179500+134000-1500+133500+343000+208500+208000+207000+412000+466000</f>
        <v>2517500</v>
      </c>
      <c r="G23" s="126"/>
      <c r="I23" s="49"/>
    </row>
    <row r="24" spans="1:9" ht="21.75" customHeight="1">
      <c r="A24" s="115" t="s">
        <v>291</v>
      </c>
      <c r="B24" s="123"/>
      <c r="C24" s="123"/>
      <c r="D24" s="124"/>
      <c r="E24" s="127"/>
      <c r="F24" s="102">
        <f>135500+67500+67000+65500+65000+64500+84000+84000+83500+82500+82500+117000+82500</f>
        <v>1081000</v>
      </c>
      <c r="G24" s="126"/>
      <c r="I24" s="49"/>
    </row>
    <row r="25" spans="1:9" ht="21.75" customHeight="1">
      <c r="A25" s="115" t="s">
        <v>298</v>
      </c>
      <c r="B25" s="123"/>
      <c r="C25" s="123"/>
      <c r="D25" s="124"/>
      <c r="E25" s="127"/>
      <c r="F25" s="102">
        <f>48060+16020+739+739+16020+739+1478+48060+739+48060+1573+16020</f>
        <v>198247</v>
      </c>
      <c r="G25" s="126"/>
      <c r="I25" s="49"/>
    </row>
    <row r="26" spans="1:9" ht="21.75" customHeight="1">
      <c r="A26" s="115" t="s">
        <v>326</v>
      </c>
      <c r="B26" s="123"/>
      <c r="C26" s="123"/>
      <c r="D26" s="124"/>
      <c r="E26" s="127">
        <v>91</v>
      </c>
      <c r="F26" s="102">
        <v>11395</v>
      </c>
      <c r="G26" s="126"/>
      <c r="I26" s="49"/>
    </row>
    <row r="27" spans="1:9" ht="21.75" customHeight="1">
      <c r="A27" s="115" t="s">
        <v>45</v>
      </c>
      <c r="B27" s="123"/>
      <c r="C27" s="123"/>
      <c r="D27" s="124"/>
      <c r="E27" s="127">
        <v>450</v>
      </c>
      <c r="F27" s="102">
        <v>802930</v>
      </c>
      <c r="G27" s="126"/>
      <c r="I27" s="49"/>
    </row>
    <row r="28" spans="1:9" ht="21.75" customHeight="1">
      <c r="A28" s="115" t="s">
        <v>46</v>
      </c>
      <c r="B28" s="123"/>
      <c r="C28" s="123"/>
      <c r="D28" s="124"/>
      <c r="E28" s="127">
        <v>500</v>
      </c>
      <c r="F28" s="102">
        <v>734000</v>
      </c>
      <c r="G28" s="126"/>
      <c r="I28" s="49"/>
    </row>
    <row r="29" spans="1:7" ht="21.75" customHeight="1">
      <c r="A29" s="115" t="s">
        <v>293</v>
      </c>
      <c r="B29" s="123"/>
      <c r="C29" s="123"/>
      <c r="D29" s="124"/>
      <c r="E29" s="127"/>
      <c r="F29" s="102"/>
      <c r="G29" s="126">
        <f>42885+165000</f>
        <v>207885</v>
      </c>
    </row>
    <row r="30" spans="1:7" ht="21.75" customHeight="1">
      <c r="A30" s="115" t="s">
        <v>325</v>
      </c>
      <c r="B30" s="123"/>
      <c r="C30" s="123"/>
      <c r="D30" s="124"/>
      <c r="E30" s="127"/>
      <c r="F30" s="102"/>
      <c r="G30" s="104">
        <v>538860</v>
      </c>
    </row>
    <row r="31" spans="1:7" ht="21.75" customHeight="1">
      <c r="A31" s="115" t="s">
        <v>295</v>
      </c>
      <c r="B31" s="123"/>
      <c r="C31" s="123"/>
      <c r="D31" s="124"/>
      <c r="E31" s="127"/>
      <c r="F31" s="102"/>
      <c r="G31" s="147">
        <v>34000</v>
      </c>
    </row>
    <row r="32" spans="1:7" ht="21.75" customHeight="1">
      <c r="A32" s="115" t="s">
        <v>288</v>
      </c>
      <c r="B32" s="123"/>
      <c r="C32" s="123"/>
      <c r="D32" s="124"/>
      <c r="E32" s="127"/>
      <c r="F32" s="102"/>
      <c r="G32" s="126">
        <v>7500</v>
      </c>
    </row>
    <row r="33" spans="1:9" ht="21.75" customHeight="1">
      <c r="A33" s="115" t="s">
        <v>237</v>
      </c>
      <c r="B33" s="123"/>
      <c r="C33" s="123"/>
      <c r="D33" s="124"/>
      <c r="E33" s="127">
        <v>550</v>
      </c>
      <c r="F33" s="102">
        <v>20000</v>
      </c>
      <c r="G33" s="126"/>
      <c r="I33" s="49"/>
    </row>
    <row r="34" spans="1:9" ht="21.75" customHeight="1">
      <c r="A34" s="115" t="s">
        <v>251</v>
      </c>
      <c r="B34" s="123"/>
      <c r="C34" s="123"/>
      <c r="D34" s="124"/>
      <c r="E34" s="127">
        <v>903</v>
      </c>
      <c r="F34" s="102"/>
      <c r="G34" s="126">
        <v>463159</v>
      </c>
      <c r="I34" s="129"/>
    </row>
    <row r="35" spans="1:9" ht="21.75" customHeight="1">
      <c r="A35" s="115" t="s">
        <v>252</v>
      </c>
      <c r="B35" s="123"/>
      <c r="C35" s="123"/>
      <c r="D35" s="124"/>
      <c r="E35" s="127"/>
      <c r="F35" s="102"/>
      <c r="G35" s="126">
        <v>40871.15</v>
      </c>
      <c r="I35" s="49"/>
    </row>
    <row r="36" spans="1:9" ht="21.75" customHeight="1">
      <c r="A36" s="115" t="s">
        <v>48</v>
      </c>
      <c r="B36" s="123"/>
      <c r="C36" s="123"/>
      <c r="D36" s="124" t="s">
        <v>240</v>
      </c>
      <c r="E36" s="127">
        <v>700</v>
      </c>
      <c r="F36" s="102"/>
      <c r="G36" s="126">
        <v>4778812.01</v>
      </c>
      <c r="I36" s="49"/>
    </row>
    <row r="37" spans="1:9" ht="21.75" customHeight="1">
      <c r="A37" s="115" t="s">
        <v>51</v>
      </c>
      <c r="B37" s="123"/>
      <c r="C37" s="123"/>
      <c r="D37" s="124"/>
      <c r="E37" s="128">
        <v>704</v>
      </c>
      <c r="F37" s="102"/>
      <c r="G37" s="126">
        <v>3766977.44</v>
      </c>
      <c r="I37" s="49"/>
    </row>
    <row r="38" spans="1:9" ht="21.75" customHeight="1">
      <c r="A38" s="115" t="s">
        <v>253</v>
      </c>
      <c r="B38" s="123"/>
      <c r="C38" s="123"/>
      <c r="D38" s="124"/>
      <c r="E38" s="127">
        <v>701</v>
      </c>
      <c r="F38" s="102"/>
      <c r="G38" s="126">
        <v>709313.7</v>
      </c>
      <c r="I38" s="49"/>
    </row>
    <row r="39" spans="1:9" ht="21.75" customHeight="1">
      <c r="A39" s="115" t="s">
        <v>280</v>
      </c>
      <c r="B39" s="123"/>
      <c r="C39" s="123"/>
      <c r="D39" s="124"/>
      <c r="E39" s="127">
        <v>701</v>
      </c>
      <c r="F39" s="102">
        <v>437200</v>
      </c>
      <c r="G39" s="126"/>
      <c r="I39" s="49"/>
    </row>
    <row r="40" spans="1:9" ht="21.75" customHeight="1">
      <c r="A40" s="115" t="s">
        <v>250</v>
      </c>
      <c r="B40" s="123"/>
      <c r="C40" s="123"/>
      <c r="D40" s="124"/>
      <c r="E40" s="127">
        <v>821</v>
      </c>
      <c r="F40" s="102"/>
      <c r="G40" s="126">
        <f>351099.93+1375412.23+1235302.3+5818384.07+1159719.79+458761.97+318600+2079663.85+825887.19+1005802.13+1302307.79+1091872.55+4680+1643663.52</f>
        <v>18671157.32</v>
      </c>
      <c r="I40" s="95"/>
    </row>
    <row r="41" spans="1:9" ht="21.75" customHeight="1">
      <c r="A41" s="115" t="s">
        <v>254</v>
      </c>
      <c r="B41" s="123"/>
      <c r="C41" s="123"/>
      <c r="D41" s="124"/>
      <c r="E41" s="128">
        <v>906</v>
      </c>
      <c r="F41" s="102"/>
      <c r="G41" s="126">
        <v>2074</v>
      </c>
      <c r="I41" s="49"/>
    </row>
    <row r="42" spans="1:9" ht="21.75" customHeight="1">
      <c r="A42" s="115" t="s">
        <v>255</v>
      </c>
      <c r="B42" s="123"/>
      <c r="C42" s="123"/>
      <c r="D42" s="124"/>
      <c r="E42" s="128">
        <v>907</v>
      </c>
      <c r="F42" s="102"/>
      <c r="G42" s="126">
        <v>2488.8</v>
      </c>
      <c r="I42" s="96"/>
    </row>
    <row r="43" spans="1:9" ht="21.75" customHeight="1">
      <c r="A43" s="84"/>
      <c r="B43" s="85"/>
      <c r="C43" s="86"/>
      <c r="D43" s="87"/>
      <c r="E43" s="88"/>
      <c r="F43" s="89">
        <f>SUM(F6:F42)</f>
        <v>29223098.42</v>
      </c>
      <c r="G43" s="90">
        <f>SUM(G23:G42)</f>
        <v>29223098.419999998</v>
      </c>
      <c r="I43" s="95">
        <f>F43-G43</f>
        <v>0</v>
      </c>
    </row>
    <row r="44" spans="1:9" ht="21.75" customHeight="1">
      <c r="A44" s="291" t="s">
        <v>243</v>
      </c>
      <c r="B44" s="291"/>
      <c r="C44" s="291"/>
      <c r="D44" s="291" t="s">
        <v>244</v>
      </c>
      <c r="E44" s="291"/>
      <c r="F44" s="291" t="s">
        <v>244</v>
      </c>
      <c r="G44" s="291"/>
      <c r="I44" s="49"/>
    </row>
    <row r="45" spans="1:7" ht="13.5" customHeight="1">
      <c r="A45" s="49"/>
      <c r="B45" s="49"/>
      <c r="C45" s="49"/>
      <c r="D45" s="49"/>
      <c r="E45" s="49"/>
      <c r="F45" s="95"/>
      <c r="G45" s="95"/>
    </row>
    <row r="46" spans="1:7" ht="21.75" customHeight="1">
      <c r="A46" s="328" t="s">
        <v>241</v>
      </c>
      <c r="B46" s="328"/>
      <c r="C46" s="328"/>
      <c r="D46" s="328" t="s">
        <v>242</v>
      </c>
      <c r="E46" s="328"/>
      <c r="F46" s="328" t="s">
        <v>289</v>
      </c>
      <c r="G46" s="328"/>
    </row>
    <row r="47" spans="1:7" ht="21.75" customHeight="1">
      <c r="A47" s="328" t="s">
        <v>11</v>
      </c>
      <c r="B47" s="328"/>
      <c r="C47" s="328"/>
      <c r="D47" s="328" t="s">
        <v>12</v>
      </c>
      <c r="E47" s="328"/>
      <c r="F47" s="328" t="s">
        <v>290</v>
      </c>
      <c r="G47" s="328"/>
    </row>
    <row r="48" spans="1:7" ht="21.75" customHeight="1">
      <c r="A48" s="328"/>
      <c r="B48" s="328"/>
      <c r="C48" s="328"/>
      <c r="F48" s="328"/>
      <c r="G48" s="328"/>
    </row>
    <row r="50" ht="21.75" customHeight="1">
      <c r="D50" s="79" t="s">
        <v>240</v>
      </c>
    </row>
  </sheetData>
  <sheetProtection/>
  <mergeCells count="18">
    <mergeCell ref="A47:C47"/>
    <mergeCell ref="D47:E47"/>
    <mergeCell ref="F47:G47"/>
    <mergeCell ref="A48:C48"/>
    <mergeCell ref="F48:G48"/>
    <mergeCell ref="A44:C44"/>
    <mergeCell ref="D44:E44"/>
    <mergeCell ref="F44:G44"/>
    <mergeCell ref="A46:C46"/>
    <mergeCell ref="D46:E46"/>
    <mergeCell ref="F46:G46"/>
    <mergeCell ref="A1:G1"/>
    <mergeCell ref="A2:G2"/>
    <mergeCell ref="A3:G3"/>
    <mergeCell ref="A4:D5"/>
    <mergeCell ref="E4:E5"/>
    <mergeCell ref="F4:F5"/>
    <mergeCell ref="G4:G5"/>
  </mergeCells>
  <printOptions/>
  <pageMargins left="0.7874015748031497" right="0.1968503937007874" top="0" bottom="0" header="0" footer="0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5"/>
  <sheetViews>
    <sheetView view="pageBreakPreview" zoomScaleSheetLayoutView="100" workbookViewId="0" topLeftCell="A139">
      <selection activeCell="D126" sqref="D126"/>
    </sheetView>
  </sheetViews>
  <sheetFormatPr defaultColWidth="9.140625" defaultRowHeight="21.75" customHeight="1"/>
  <cols>
    <col min="1" max="1" width="9.421875" style="0" customWidth="1"/>
    <col min="3" max="3" width="19.8515625" style="0" customWidth="1"/>
    <col min="4" max="4" width="13.57421875" style="0" customWidth="1"/>
    <col min="5" max="5" width="1.7109375" style="0" customWidth="1"/>
    <col min="6" max="6" width="16.7109375" style="0" customWidth="1"/>
    <col min="7" max="7" width="1.7109375" style="0" customWidth="1"/>
    <col min="8" max="8" width="15.7109375" style="0" customWidth="1"/>
    <col min="9" max="9" width="1.7109375" style="0" customWidth="1"/>
    <col min="10" max="10" width="18.421875" style="0" customWidth="1"/>
  </cols>
  <sheetData>
    <row r="1" spans="1:10" ht="21.75" customHeight="1">
      <c r="A1" s="289" t="s">
        <v>245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21.75" customHeight="1">
      <c r="A2" s="289" t="s">
        <v>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21.75" customHeight="1">
      <c r="A3" s="290" t="s">
        <v>311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0" ht="21.75" customHeight="1">
      <c r="A4" s="340" t="s">
        <v>239</v>
      </c>
      <c r="B4" s="340"/>
      <c r="C4" s="340"/>
      <c r="D4" s="58" t="s">
        <v>1</v>
      </c>
      <c r="E4" s="341" t="s">
        <v>2</v>
      </c>
      <c r="F4" s="342"/>
      <c r="G4" s="341" t="s">
        <v>3</v>
      </c>
      <c r="H4" s="343"/>
      <c r="I4" s="341" t="s">
        <v>4</v>
      </c>
      <c r="J4" s="343"/>
    </row>
    <row r="5" spans="1:10" ht="21.75" customHeight="1">
      <c r="A5" s="49" t="s">
        <v>5</v>
      </c>
      <c r="D5" s="18">
        <v>5264.68</v>
      </c>
      <c r="E5" s="50"/>
      <c r="F5" s="51">
        <v>12795.63</v>
      </c>
      <c r="G5" s="52"/>
      <c r="H5" s="53">
        <v>18060.31</v>
      </c>
      <c r="I5" s="52"/>
      <c r="J5" s="53">
        <f aca="true" t="shared" si="0" ref="J5:J15">D5+F5-H5</f>
        <v>0</v>
      </c>
    </row>
    <row r="6" spans="1:10" ht="21.75" customHeight="1">
      <c r="A6" s="49" t="s">
        <v>6</v>
      </c>
      <c r="D6" s="18">
        <v>408009</v>
      </c>
      <c r="E6" s="52"/>
      <c r="F6" s="48">
        <v>55150</v>
      </c>
      <c r="G6" s="52"/>
      <c r="H6" s="53">
        <v>0</v>
      </c>
      <c r="I6" s="52"/>
      <c r="J6" s="53">
        <f t="shared" si="0"/>
        <v>463159</v>
      </c>
    </row>
    <row r="7" spans="1:10" ht="21.75" customHeight="1">
      <c r="A7" s="49" t="s">
        <v>7</v>
      </c>
      <c r="D7" s="18">
        <v>2054.05</v>
      </c>
      <c r="E7" s="52"/>
      <c r="F7" s="48">
        <v>19.95</v>
      </c>
      <c r="G7" s="52"/>
      <c r="H7" s="53">
        <v>0</v>
      </c>
      <c r="I7" s="52"/>
      <c r="J7" s="53">
        <f t="shared" si="0"/>
        <v>2074</v>
      </c>
    </row>
    <row r="8" spans="1:10" ht="21.75" customHeight="1">
      <c r="A8" s="49" t="s">
        <v>8</v>
      </c>
      <c r="D8" s="18">
        <v>2464.86</v>
      </c>
      <c r="E8" s="52"/>
      <c r="F8" s="48">
        <v>23.94</v>
      </c>
      <c r="G8" s="52"/>
      <c r="H8" s="53">
        <v>0</v>
      </c>
      <c r="I8" s="52"/>
      <c r="J8" s="53">
        <f t="shared" si="0"/>
        <v>2488.8</v>
      </c>
    </row>
    <row r="9" spans="1:10" ht="21.75" customHeight="1">
      <c r="A9" s="49" t="s">
        <v>292</v>
      </c>
      <c r="D9" s="18">
        <v>268843.66</v>
      </c>
      <c r="E9" s="52"/>
      <c r="F9" s="48">
        <v>0</v>
      </c>
      <c r="G9" s="52"/>
      <c r="H9" s="48">
        <v>0</v>
      </c>
      <c r="I9" s="52"/>
      <c r="J9" s="53">
        <f t="shared" si="0"/>
        <v>268843.66</v>
      </c>
    </row>
    <row r="10" spans="1:10" ht="21.75" customHeight="1">
      <c r="A10" s="49" t="s">
        <v>235</v>
      </c>
      <c r="D10" s="18">
        <v>2463.2</v>
      </c>
      <c r="E10" s="52"/>
      <c r="F10" s="48">
        <v>806.84</v>
      </c>
      <c r="G10" s="52"/>
      <c r="H10" s="48">
        <v>0</v>
      </c>
      <c r="I10" s="52"/>
      <c r="J10" s="53">
        <f t="shared" si="0"/>
        <v>3270.04</v>
      </c>
    </row>
    <row r="11" spans="1:10" ht="21.75" customHeight="1">
      <c r="A11" s="49" t="s">
        <v>286</v>
      </c>
      <c r="D11" s="18">
        <v>0</v>
      </c>
      <c r="E11" s="52"/>
      <c r="F11" s="48">
        <v>10000</v>
      </c>
      <c r="G11" s="52"/>
      <c r="H11" s="48">
        <v>10000</v>
      </c>
      <c r="I11" s="52"/>
      <c r="J11" s="53">
        <f t="shared" si="0"/>
        <v>0</v>
      </c>
    </row>
    <row r="12" spans="1:10" ht="21.75" customHeight="1">
      <c r="A12" s="49" t="s">
        <v>232</v>
      </c>
      <c r="D12" s="18">
        <v>7500</v>
      </c>
      <c r="E12" s="52"/>
      <c r="F12" s="48">
        <v>0</v>
      </c>
      <c r="G12" s="52"/>
      <c r="H12" s="48">
        <v>0</v>
      </c>
      <c r="I12" s="52"/>
      <c r="J12" s="53">
        <f t="shared" si="0"/>
        <v>7500</v>
      </c>
    </row>
    <row r="13" spans="1:10" ht="21.75" customHeight="1">
      <c r="A13" s="49" t="s">
        <v>297</v>
      </c>
      <c r="D13" s="18">
        <v>1500</v>
      </c>
      <c r="E13" s="52"/>
      <c r="F13" s="48">
        <v>0</v>
      </c>
      <c r="G13" s="52"/>
      <c r="H13" s="48">
        <v>0</v>
      </c>
      <c r="I13" s="52"/>
      <c r="J13" s="53">
        <f t="shared" si="0"/>
        <v>1500</v>
      </c>
    </row>
    <row r="14" spans="1:10" ht="21.75" customHeight="1">
      <c r="A14" s="49" t="s">
        <v>306</v>
      </c>
      <c r="D14" s="18">
        <v>3000</v>
      </c>
      <c r="E14" s="52"/>
      <c r="F14" s="48">
        <v>10250</v>
      </c>
      <c r="G14" s="52"/>
      <c r="H14" s="48">
        <v>0</v>
      </c>
      <c r="I14" s="52"/>
      <c r="J14" s="53">
        <f t="shared" si="0"/>
        <v>13250</v>
      </c>
    </row>
    <row r="15" spans="1:10" ht="21.75" customHeight="1">
      <c r="A15" s="49" t="s">
        <v>312</v>
      </c>
      <c r="D15" s="18">
        <v>0</v>
      </c>
      <c r="E15" s="52"/>
      <c r="F15" s="48">
        <v>1800</v>
      </c>
      <c r="G15" s="52"/>
      <c r="H15" s="48">
        <v>0</v>
      </c>
      <c r="I15" s="52"/>
      <c r="J15" s="53">
        <f t="shared" si="0"/>
        <v>1800</v>
      </c>
    </row>
    <row r="16" spans="3:10" s="6" customFormat="1" ht="21.75" customHeight="1" thickBot="1">
      <c r="C16" s="6" t="s">
        <v>9</v>
      </c>
      <c r="D16" s="54">
        <f>SUM(D5:D15)</f>
        <v>701099.45</v>
      </c>
      <c r="E16" s="55"/>
      <c r="F16" s="56">
        <f>SUM(F5:F15)</f>
        <v>90846.36</v>
      </c>
      <c r="G16" s="55"/>
      <c r="H16" s="57">
        <f>SUM(H5:H15)</f>
        <v>28060.31</v>
      </c>
      <c r="I16" s="55"/>
      <c r="J16" s="57">
        <f>SUM(J5:J11)</f>
        <v>739835.5</v>
      </c>
    </row>
    <row r="17" ht="21.75" customHeight="1" thickTop="1"/>
    <row r="19" spans="1:10" ht="21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1" spans="2:10" ht="21.75" customHeight="1">
      <c r="B21" s="121" t="s">
        <v>267</v>
      </c>
      <c r="C21" s="6"/>
      <c r="D21" s="6"/>
      <c r="E21" s="6"/>
      <c r="F21" s="6"/>
      <c r="G21" s="6"/>
      <c r="H21" s="6"/>
      <c r="I21" s="73"/>
      <c r="J21" s="72"/>
    </row>
    <row r="22" spans="2:10" ht="21.75" customHeight="1">
      <c r="B22" s="6"/>
      <c r="C22" s="6"/>
      <c r="D22" s="6"/>
      <c r="E22" s="6"/>
      <c r="F22" s="6"/>
      <c r="G22" s="6"/>
      <c r="H22" s="74" t="s">
        <v>10</v>
      </c>
      <c r="I22" s="73"/>
      <c r="J22" s="72"/>
    </row>
    <row r="23" spans="2:10" ht="21.75" customHeight="1">
      <c r="B23" s="6" t="s">
        <v>238</v>
      </c>
      <c r="C23" s="6"/>
      <c r="D23" s="6"/>
      <c r="E23" s="6"/>
      <c r="F23" s="6"/>
      <c r="G23" s="6"/>
      <c r="H23" s="74" t="s">
        <v>169</v>
      </c>
      <c r="I23" s="73"/>
      <c r="J23" s="72"/>
    </row>
    <row r="24" spans="2:10" ht="21.75" customHeight="1">
      <c r="B24" s="6"/>
      <c r="C24" s="6"/>
      <c r="D24" s="6"/>
      <c r="E24" s="6"/>
      <c r="F24" s="6"/>
      <c r="G24" s="6"/>
      <c r="H24" s="75">
        <v>0</v>
      </c>
      <c r="I24" s="73"/>
      <c r="J24" s="72"/>
    </row>
    <row r="25" spans="2:10" ht="21.75" customHeight="1">
      <c r="B25" s="6"/>
      <c r="C25" s="6"/>
      <c r="D25" s="6"/>
      <c r="E25" s="6"/>
      <c r="F25" s="6"/>
      <c r="G25" s="6"/>
      <c r="H25" s="75"/>
      <c r="I25" s="73"/>
      <c r="J25" s="72"/>
    </row>
    <row r="26" spans="2:10" ht="21.75" customHeight="1">
      <c r="B26" s="6"/>
      <c r="C26" s="6"/>
      <c r="D26" s="6"/>
      <c r="E26" s="6"/>
      <c r="F26" s="6"/>
      <c r="G26" s="6"/>
      <c r="H26" s="75"/>
      <c r="I26" s="73"/>
      <c r="J26" s="72"/>
    </row>
    <row r="27" spans="2:10" ht="21.75" customHeight="1" thickBot="1">
      <c r="B27" s="6" t="s">
        <v>234</v>
      </c>
      <c r="C27" s="6"/>
      <c r="D27" s="6"/>
      <c r="E27" s="6"/>
      <c r="F27" s="6"/>
      <c r="G27" s="70">
        <f>SUM(G18:G26)</f>
        <v>0</v>
      </c>
      <c r="H27" s="119">
        <f>SUM(H24:H26)</f>
        <v>0</v>
      </c>
      <c r="I27" s="73"/>
      <c r="J27" s="72"/>
    </row>
    <row r="28" spans="2:10" ht="21.75" customHeight="1" thickTop="1">
      <c r="B28" s="6"/>
      <c r="C28" s="6"/>
      <c r="D28" s="6"/>
      <c r="E28" s="6"/>
      <c r="F28" s="6"/>
      <c r="G28" s="6"/>
      <c r="H28" s="75"/>
      <c r="I28" s="73"/>
      <c r="J28" s="72"/>
    </row>
    <row r="29" spans="2:10" ht="21.75" customHeight="1">
      <c r="B29" s="121" t="s">
        <v>263</v>
      </c>
      <c r="C29" s="6"/>
      <c r="D29" s="6"/>
      <c r="E29" s="6"/>
      <c r="F29" s="6"/>
      <c r="G29" s="6"/>
      <c r="H29" s="75"/>
      <c r="I29" s="73"/>
      <c r="J29" s="72"/>
    </row>
    <row r="30" spans="2:10" ht="21.75" customHeight="1">
      <c r="B30" s="6" t="s">
        <v>238</v>
      </c>
      <c r="C30" s="6"/>
      <c r="D30" s="6"/>
      <c r="E30" s="6"/>
      <c r="F30" s="6"/>
      <c r="G30" s="6"/>
      <c r="H30" s="75"/>
      <c r="I30" s="73"/>
      <c r="J30" s="72"/>
    </row>
    <row r="31" spans="2:10" ht="21.75" customHeight="1">
      <c r="B31" s="6"/>
      <c r="C31" s="6"/>
      <c r="D31" s="6"/>
      <c r="E31" s="6"/>
      <c r="F31" s="6"/>
      <c r="G31" s="6"/>
      <c r="H31" s="75">
        <v>0</v>
      </c>
      <c r="I31" s="73"/>
      <c r="J31" s="72"/>
    </row>
    <row r="32" spans="1:10" ht="21.75" customHeight="1">
      <c r="A32" s="2"/>
      <c r="B32" s="6"/>
      <c r="C32" s="6"/>
      <c r="D32" s="6"/>
      <c r="E32" s="6"/>
      <c r="F32" s="6"/>
      <c r="G32" s="6"/>
      <c r="H32" s="6"/>
      <c r="I32" s="6"/>
      <c r="J32" s="6"/>
    </row>
    <row r="33" spans="1:10" ht="21.75" customHeight="1">
      <c r="A33" s="2"/>
      <c r="B33" s="6"/>
      <c r="C33" s="6"/>
      <c r="D33" s="6"/>
      <c r="E33" s="6"/>
      <c r="F33" s="6"/>
      <c r="G33" s="6"/>
      <c r="H33" s="76"/>
      <c r="I33" s="6"/>
      <c r="J33" s="6"/>
    </row>
    <row r="34" spans="1:10" ht="21.75" customHeight="1">
      <c r="A34" s="2"/>
      <c r="B34" s="6"/>
      <c r="C34" s="6"/>
      <c r="D34" s="6"/>
      <c r="E34" s="6"/>
      <c r="F34" s="6"/>
      <c r="G34" s="6"/>
      <c r="H34" s="75"/>
      <c r="I34" s="6"/>
      <c r="J34" s="6"/>
    </row>
    <row r="35" spans="1:10" s="72" customFormat="1" ht="21.75" customHeight="1" thickBot="1">
      <c r="A35" s="6"/>
      <c r="B35" s="6"/>
      <c r="C35" s="6" t="s">
        <v>264</v>
      </c>
      <c r="D35" s="6"/>
      <c r="E35" s="6"/>
      <c r="F35" s="6"/>
      <c r="G35" s="6"/>
      <c r="H35" s="70">
        <f>SUM(H31:H34)</f>
        <v>0</v>
      </c>
      <c r="I35" s="71"/>
      <c r="J35" s="6"/>
    </row>
    <row r="36" spans="1:10" s="72" customFormat="1" ht="21.75" customHeight="1" thickTop="1">
      <c r="A36" s="6"/>
      <c r="B36" s="6"/>
      <c r="C36" s="6"/>
      <c r="D36" s="6"/>
      <c r="E36" s="6"/>
      <c r="F36" s="6"/>
      <c r="G36" s="6"/>
      <c r="H36" s="77"/>
      <c r="I36" s="3"/>
      <c r="J36" s="6"/>
    </row>
    <row r="37" spans="1:10" s="72" customFormat="1" ht="21.75" customHeight="1">
      <c r="A37" s="6"/>
      <c r="B37" s="6"/>
      <c r="C37" s="6"/>
      <c r="D37" s="6"/>
      <c r="E37" s="6"/>
      <c r="F37" s="6"/>
      <c r="G37" s="6"/>
      <c r="H37" s="77"/>
      <c r="I37" s="3"/>
      <c r="J37" s="6"/>
    </row>
    <row r="38" spans="1:11" s="72" customFormat="1" ht="21.75" customHeight="1">
      <c r="A38" s="293" t="s">
        <v>241</v>
      </c>
      <c r="B38" s="293"/>
      <c r="C38" s="293"/>
      <c r="D38" s="293" t="s">
        <v>242</v>
      </c>
      <c r="E38" s="293"/>
      <c r="F38" s="293"/>
      <c r="G38" s="6"/>
      <c r="H38" s="293" t="s">
        <v>289</v>
      </c>
      <c r="I38" s="293"/>
      <c r="J38" s="293"/>
      <c r="K38" s="101"/>
    </row>
    <row r="39" spans="1:11" s="72" customFormat="1" ht="21.75" customHeight="1">
      <c r="A39" s="293" t="s">
        <v>11</v>
      </c>
      <c r="B39" s="293"/>
      <c r="C39" s="293"/>
      <c r="D39" s="293" t="s">
        <v>12</v>
      </c>
      <c r="E39" s="293"/>
      <c r="F39" s="293"/>
      <c r="G39" s="293"/>
      <c r="H39" s="293" t="s">
        <v>290</v>
      </c>
      <c r="I39" s="293"/>
      <c r="J39" s="293"/>
      <c r="K39" s="101"/>
    </row>
    <row r="40" spans="1:10" s="72" customFormat="1" ht="21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10" s="72" customFormat="1" ht="21.75" customHeight="1">
      <c r="A41" s="60"/>
      <c r="B41" s="60"/>
      <c r="C41" s="60"/>
      <c r="D41" s="293"/>
      <c r="E41" s="293"/>
      <c r="F41" s="293"/>
      <c r="G41" s="6"/>
      <c r="H41" s="60"/>
      <c r="I41" s="60"/>
      <c r="J41" s="60"/>
    </row>
    <row r="42" spans="1:10" ht="21.75" customHeight="1">
      <c r="A42" s="294" t="s">
        <v>245</v>
      </c>
      <c r="B42" s="294"/>
      <c r="C42" s="294"/>
      <c r="D42" s="294"/>
      <c r="E42" s="295"/>
      <c r="F42" s="296" t="s">
        <v>259</v>
      </c>
      <c r="G42" s="294"/>
      <c r="H42" s="294"/>
      <c r="I42" s="294"/>
      <c r="J42" s="294"/>
    </row>
    <row r="43" spans="1:10" ht="21.75" customHeight="1">
      <c r="A43" s="6"/>
      <c r="B43" s="6"/>
      <c r="C43" s="6"/>
      <c r="D43" s="6"/>
      <c r="E43" s="61"/>
      <c r="F43" s="6"/>
      <c r="G43" s="6"/>
      <c r="H43" s="6"/>
      <c r="I43" s="6"/>
      <c r="J43" s="6"/>
    </row>
    <row r="44" spans="1:10" ht="21.75" customHeight="1">
      <c r="A44" s="297" t="s">
        <v>13</v>
      </c>
      <c r="B44" s="287"/>
      <c r="C44" s="287"/>
      <c r="D44" s="287"/>
      <c r="E44" s="288"/>
      <c r="F44" s="6" t="s">
        <v>258</v>
      </c>
      <c r="G44" s="6"/>
      <c r="H44" s="6"/>
      <c r="I44" s="6"/>
      <c r="J44" s="6"/>
    </row>
    <row r="45" spans="1:10" ht="21.75" customHeight="1">
      <c r="A45" s="4"/>
      <c r="B45" s="4"/>
      <c r="C45" s="4"/>
      <c r="D45" s="4"/>
      <c r="E45" s="62"/>
      <c r="F45" s="4"/>
      <c r="G45" s="4"/>
      <c r="H45" s="4"/>
      <c r="I45" s="4"/>
      <c r="J45" s="4"/>
    </row>
    <row r="46" spans="1:10" ht="21.75" customHeight="1">
      <c r="A46" s="6"/>
      <c r="B46" s="6"/>
      <c r="C46" s="6"/>
      <c r="D46" s="6"/>
      <c r="E46" s="63"/>
      <c r="F46" s="64"/>
      <c r="G46" s="6"/>
      <c r="H46" s="349" t="s">
        <v>14</v>
      </c>
      <c r="I46" s="349"/>
      <c r="J46" s="6"/>
    </row>
    <row r="47" spans="1:10" ht="21.75" customHeight="1">
      <c r="A47" s="6" t="s">
        <v>302</v>
      </c>
      <c r="B47" s="6"/>
      <c r="C47" s="6"/>
      <c r="D47" s="6"/>
      <c r="E47" s="3"/>
      <c r="F47" s="53">
        <v>2663934.44</v>
      </c>
      <c r="G47" s="6"/>
      <c r="H47" s="6"/>
      <c r="I47" s="6"/>
      <c r="J47" s="6"/>
    </row>
    <row r="48" spans="1:10" ht="21.75" customHeight="1">
      <c r="A48" s="6" t="s">
        <v>15</v>
      </c>
      <c r="B48" s="6"/>
      <c r="C48" s="6"/>
      <c r="D48" s="6"/>
      <c r="E48" s="3"/>
      <c r="F48" s="61"/>
      <c r="G48" s="6"/>
      <c r="H48" s="6"/>
      <c r="I48" s="6"/>
      <c r="J48" s="6"/>
    </row>
    <row r="49" spans="1:10" ht="21.75" customHeight="1">
      <c r="A49" s="344" t="s">
        <v>16</v>
      </c>
      <c r="B49" s="344"/>
      <c r="C49" s="344" t="s">
        <v>17</v>
      </c>
      <c r="D49" s="344"/>
      <c r="E49" s="345" t="s">
        <v>10</v>
      </c>
      <c r="F49" s="346"/>
      <c r="G49" s="6"/>
      <c r="H49" s="6"/>
      <c r="I49" s="6"/>
      <c r="J49" s="6"/>
    </row>
    <row r="50" spans="1:10" ht="21.75" customHeight="1">
      <c r="A50" s="6"/>
      <c r="B50" s="6"/>
      <c r="C50" s="6"/>
      <c r="D50" s="6"/>
      <c r="E50" s="3"/>
      <c r="F50" s="61"/>
      <c r="G50" s="6"/>
      <c r="H50" s="6"/>
      <c r="I50" s="6"/>
      <c r="J50" s="6"/>
    </row>
    <row r="51" spans="1:10" ht="21.75" customHeight="1">
      <c r="A51" s="6" t="s">
        <v>18</v>
      </c>
      <c r="B51" s="6"/>
      <c r="C51" s="6" t="s">
        <v>18</v>
      </c>
      <c r="D51" s="6"/>
      <c r="E51" s="3"/>
      <c r="F51" s="61"/>
      <c r="G51" s="6"/>
      <c r="H51" s="6"/>
      <c r="I51" s="6"/>
      <c r="J51" s="6"/>
    </row>
    <row r="52" spans="1:10" ht="21.75" customHeight="1">
      <c r="A52" s="6" t="s">
        <v>18</v>
      </c>
      <c r="B52" s="6"/>
      <c r="C52" s="6" t="s">
        <v>18</v>
      </c>
      <c r="D52" s="6"/>
      <c r="E52" s="3"/>
      <c r="F52" s="61"/>
      <c r="G52" s="6"/>
      <c r="H52" s="6"/>
      <c r="I52" s="6"/>
      <c r="J52" s="6"/>
    </row>
    <row r="53" spans="1:10" ht="21.75" customHeight="1">
      <c r="A53" s="6" t="s">
        <v>19</v>
      </c>
      <c r="B53" s="6"/>
      <c r="C53" s="6"/>
      <c r="D53" s="6"/>
      <c r="E53" s="3"/>
      <c r="F53" s="61"/>
      <c r="G53" s="6"/>
      <c r="H53" s="6"/>
      <c r="I53" s="6"/>
      <c r="J53" s="6"/>
    </row>
    <row r="54" spans="1:10" ht="21.75" customHeight="1">
      <c r="A54" s="344" t="s">
        <v>20</v>
      </c>
      <c r="B54" s="344"/>
      <c r="C54" s="344" t="s">
        <v>21</v>
      </c>
      <c r="D54" s="344"/>
      <c r="E54" s="345" t="s">
        <v>10</v>
      </c>
      <c r="F54" s="346"/>
      <c r="G54" s="6"/>
      <c r="H54" s="6"/>
      <c r="I54" s="6"/>
      <c r="J54" s="6"/>
    </row>
    <row r="55" spans="1:10" ht="21.75" customHeight="1">
      <c r="A55" s="347"/>
      <c r="B55" s="347"/>
      <c r="C55" s="60"/>
      <c r="D55" s="60"/>
      <c r="E55" s="42"/>
      <c r="F55" s="65"/>
      <c r="G55" s="6"/>
      <c r="H55" s="6"/>
      <c r="I55" s="6"/>
      <c r="J55" s="6"/>
    </row>
    <row r="56" spans="1:10" ht="21.75" customHeight="1">
      <c r="A56" s="101"/>
      <c r="B56" s="101"/>
      <c r="C56" s="78"/>
      <c r="D56" s="6"/>
      <c r="E56" s="3"/>
      <c r="F56" s="53"/>
      <c r="G56" s="6"/>
      <c r="H56" s="6"/>
      <c r="I56" s="6"/>
      <c r="J56" s="6"/>
    </row>
    <row r="57" spans="1:10" ht="21.75" customHeight="1">
      <c r="A57" s="101"/>
      <c r="B57" s="101"/>
      <c r="C57" s="78"/>
      <c r="D57" s="6"/>
      <c r="E57" s="3"/>
      <c r="F57" s="53"/>
      <c r="G57" s="6"/>
      <c r="H57" s="6"/>
      <c r="I57" s="6"/>
      <c r="J57" s="6"/>
    </row>
    <row r="58" spans="1:10" ht="21.75" customHeight="1">
      <c r="A58" s="101"/>
      <c r="B58" s="101"/>
      <c r="C58" s="78"/>
      <c r="D58" s="6"/>
      <c r="E58" s="3"/>
      <c r="F58" s="53"/>
      <c r="G58" s="6"/>
      <c r="H58" s="6"/>
      <c r="I58" s="6"/>
      <c r="J58" s="6"/>
    </row>
    <row r="59" spans="1:10" ht="21.75" customHeight="1">
      <c r="A59" s="101"/>
      <c r="B59" s="101"/>
      <c r="C59" s="78"/>
      <c r="D59" s="6"/>
      <c r="E59" s="3"/>
      <c r="F59" s="53"/>
      <c r="G59" s="6"/>
      <c r="H59" s="6"/>
      <c r="I59" s="6"/>
      <c r="J59" s="6"/>
    </row>
    <row r="60" spans="1:10" ht="21.75" customHeight="1">
      <c r="A60" s="101"/>
      <c r="B60" s="101"/>
      <c r="C60" s="78"/>
      <c r="D60" s="6"/>
      <c r="E60" s="3"/>
      <c r="F60" s="53"/>
      <c r="G60" s="6"/>
      <c r="H60" s="6"/>
      <c r="I60" s="6"/>
      <c r="J60" s="6"/>
    </row>
    <row r="61" spans="1:10" ht="21.75" customHeight="1">
      <c r="A61" s="101"/>
      <c r="B61" s="101"/>
      <c r="C61" s="78"/>
      <c r="D61" s="6"/>
      <c r="E61" s="3"/>
      <c r="F61" s="53"/>
      <c r="G61" s="6"/>
      <c r="H61" s="6"/>
      <c r="I61" s="6"/>
      <c r="J61" s="6"/>
    </row>
    <row r="62" spans="1:10" ht="21.75" customHeight="1">
      <c r="A62" s="101"/>
      <c r="B62" s="101"/>
      <c r="C62" s="78"/>
      <c r="D62" s="6"/>
      <c r="E62" s="3"/>
      <c r="F62" s="53"/>
      <c r="G62" s="6"/>
      <c r="H62" s="6"/>
      <c r="I62" s="6"/>
      <c r="J62" s="6"/>
    </row>
    <row r="63" spans="1:10" ht="21.75" customHeight="1">
      <c r="A63" s="101"/>
      <c r="B63" s="101"/>
      <c r="C63" s="78"/>
      <c r="D63" s="6"/>
      <c r="E63" s="3"/>
      <c r="F63" s="53"/>
      <c r="G63" s="6"/>
      <c r="H63" s="59"/>
      <c r="I63" s="6"/>
      <c r="J63" s="6"/>
    </row>
    <row r="64" spans="1:10" ht="21.75" customHeight="1" thickBot="1">
      <c r="A64" s="292"/>
      <c r="B64" s="293"/>
      <c r="C64" s="66"/>
      <c r="D64" s="6"/>
      <c r="E64" s="3"/>
      <c r="F64" s="57">
        <f>SUM(F55:F63)</f>
        <v>0</v>
      </c>
      <c r="G64" s="6"/>
      <c r="H64" s="6"/>
      <c r="I64" s="6"/>
      <c r="J64" s="6"/>
    </row>
    <row r="65" spans="1:10" ht="21.75" customHeight="1" thickTop="1">
      <c r="A65" s="6" t="s">
        <v>22</v>
      </c>
      <c r="B65" s="6"/>
      <c r="C65" s="6"/>
      <c r="D65" s="6"/>
      <c r="E65" s="3"/>
      <c r="F65" s="67"/>
      <c r="G65" s="6"/>
      <c r="H65" s="59"/>
      <c r="I65" s="6"/>
      <c r="J65" s="6"/>
    </row>
    <row r="66" spans="1:10" ht="21.75" customHeight="1">
      <c r="A66" s="68" t="s">
        <v>23</v>
      </c>
      <c r="B66" s="6"/>
      <c r="C66" s="6"/>
      <c r="D66" s="6"/>
      <c r="E66" s="3"/>
      <c r="F66" s="61"/>
      <c r="G66" s="6"/>
      <c r="H66" s="6"/>
      <c r="I66" s="6"/>
      <c r="J66" s="6"/>
    </row>
    <row r="67" spans="1:10" ht="21.75" customHeight="1">
      <c r="A67" s="6" t="s">
        <v>18</v>
      </c>
      <c r="B67" s="6"/>
      <c r="C67" s="6" t="s">
        <v>18</v>
      </c>
      <c r="D67" s="6"/>
      <c r="E67" s="3"/>
      <c r="F67" s="61"/>
      <c r="G67" s="6"/>
      <c r="H67" s="59"/>
      <c r="I67" s="6"/>
      <c r="J67" s="6"/>
    </row>
    <row r="68" spans="1:10" ht="21.75" customHeight="1">
      <c r="A68" s="4" t="s">
        <v>305</v>
      </c>
      <c r="B68" s="4"/>
      <c r="C68" s="4"/>
      <c r="D68" s="4"/>
      <c r="E68" s="4"/>
      <c r="F68" s="69">
        <f>SUM(F47-F64)</f>
        <v>2663934.44</v>
      </c>
      <c r="G68" s="4"/>
      <c r="H68" s="4"/>
      <c r="I68" s="4"/>
      <c r="J68" s="4"/>
    </row>
    <row r="69" spans="1:10" ht="21.75" customHeight="1">
      <c r="A69" s="6" t="s">
        <v>24</v>
      </c>
      <c r="B69" s="6"/>
      <c r="C69" s="6"/>
      <c r="D69" s="6"/>
      <c r="E69" s="64"/>
      <c r="F69" s="6" t="s">
        <v>25</v>
      </c>
      <c r="G69" s="6"/>
      <c r="H69" s="6"/>
      <c r="I69" s="6"/>
      <c r="J69" s="6"/>
    </row>
    <row r="70" spans="1:10" ht="21.75" customHeight="1">
      <c r="A70" s="6"/>
      <c r="B70" s="6"/>
      <c r="C70" s="6"/>
      <c r="D70" s="6"/>
      <c r="E70" s="61"/>
      <c r="F70" s="6"/>
      <c r="G70" s="6"/>
      <c r="H70" s="6"/>
      <c r="I70" s="6"/>
      <c r="J70" s="6"/>
    </row>
    <row r="71" spans="1:10" ht="21.75" customHeight="1">
      <c r="A71" s="6" t="s">
        <v>303</v>
      </c>
      <c r="B71" s="6"/>
      <c r="C71" s="6"/>
      <c r="D71" s="6"/>
      <c r="E71" s="61"/>
      <c r="F71" s="6" t="s">
        <v>304</v>
      </c>
      <c r="G71" s="6"/>
      <c r="H71" s="6"/>
      <c r="I71" s="6"/>
      <c r="J71" s="6"/>
    </row>
    <row r="72" spans="1:10" ht="21.75" customHeight="1">
      <c r="A72" s="3" t="s">
        <v>261</v>
      </c>
      <c r="B72" s="6"/>
      <c r="C72" s="6"/>
      <c r="D72" s="6"/>
      <c r="E72" s="61"/>
      <c r="F72" s="6" t="s">
        <v>269</v>
      </c>
      <c r="G72" s="6"/>
      <c r="H72" s="6"/>
      <c r="I72" s="6"/>
      <c r="J72" s="6"/>
    </row>
    <row r="73" spans="1:10" ht="21.75" customHeight="1">
      <c r="A73" s="4"/>
      <c r="B73" s="4"/>
      <c r="C73" s="4"/>
      <c r="D73" s="4"/>
      <c r="E73" s="62"/>
      <c r="F73" s="4"/>
      <c r="G73" s="4"/>
      <c r="H73" s="4"/>
      <c r="I73" s="4"/>
      <c r="J73" s="4"/>
    </row>
    <row r="74" spans="1:10" ht="21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21.7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21.75" customHeight="1">
      <c r="A76" s="293" t="s">
        <v>241</v>
      </c>
      <c r="B76" s="293"/>
      <c r="C76" s="293"/>
      <c r="D76" s="293" t="s">
        <v>242</v>
      </c>
      <c r="E76" s="293"/>
      <c r="F76" s="293"/>
      <c r="G76" s="6"/>
      <c r="H76" s="293" t="s">
        <v>289</v>
      </c>
      <c r="I76" s="293"/>
      <c r="J76" s="293"/>
    </row>
    <row r="77" spans="1:10" ht="21.75" customHeight="1">
      <c r="A77" s="293" t="s">
        <v>11</v>
      </c>
      <c r="B77" s="293"/>
      <c r="C77" s="293"/>
      <c r="D77" s="293" t="s">
        <v>12</v>
      </c>
      <c r="E77" s="293"/>
      <c r="F77" s="293"/>
      <c r="G77" s="293"/>
      <c r="H77" s="293" t="s">
        <v>290</v>
      </c>
      <c r="I77" s="293"/>
      <c r="J77" s="293"/>
    </row>
    <row r="78" spans="1:10" ht="21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</row>
    <row r="79" spans="1:10" ht="21.75" customHeight="1">
      <c r="A79" s="294" t="s">
        <v>245</v>
      </c>
      <c r="B79" s="294"/>
      <c r="C79" s="294"/>
      <c r="D79" s="294"/>
      <c r="E79" s="295"/>
      <c r="F79" s="296" t="s">
        <v>260</v>
      </c>
      <c r="G79" s="294"/>
      <c r="H79" s="294"/>
      <c r="I79" s="294"/>
      <c r="J79" s="294"/>
    </row>
    <row r="80" spans="1:10" ht="21.75" customHeight="1">
      <c r="A80" s="6"/>
      <c r="B80" s="6"/>
      <c r="C80" s="6"/>
      <c r="D80" s="6"/>
      <c r="E80" s="61"/>
      <c r="F80" s="6"/>
      <c r="G80" s="6"/>
      <c r="H80" s="6"/>
      <c r="I80" s="6"/>
      <c r="J80" s="6"/>
    </row>
    <row r="81" spans="1:10" ht="21.75" customHeight="1">
      <c r="A81" s="297" t="s">
        <v>13</v>
      </c>
      <c r="B81" s="287"/>
      <c r="C81" s="287"/>
      <c r="D81" s="287"/>
      <c r="E81" s="288"/>
      <c r="F81" s="6" t="s">
        <v>268</v>
      </c>
      <c r="G81" s="6"/>
      <c r="H81" s="6"/>
      <c r="I81" s="6"/>
      <c r="J81" s="6"/>
    </row>
    <row r="82" spans="1:10" ht="21.75" customHeight="1">
      <c r="A82" s="4"/>
      <c r="B82" s="4"/>
      <c r="C82" s="4"/>
      <c r="D82" s="4"/>
      <c r="E82" s="62"/>
      <c r="F82" s="4"/>
      <c r="G82" s="4"/>
      <c r="H82" s="4"/>
      <c r="I82" s="4"/>
      <c r="J82" s="4"/>
    </row>
    <row r="83" spans="1:10" ht="21.75" customHeight="1">
      <c r="A83" s="6"/>
      <c r="B83" s="6"/>
      <c r="C83" s="6"/>
      <c r="D83" s="6"/>
      <c r="E83" s="63"/>
      <c r="F83" s="64"/>
      <c r="G83" s="6"/>
      <c r="H83" s="349" t="s">
        <v>14</v>
      </c>
      <c r="I83" s="349"/>
      <c r="J83" s="6"/>
    </row>
    <row r="84" spans="1:10" ht="21.75" customHeight="1">
      <c r="A84" s="6" t="s">
        <v>313</v>
      </c>
      <c r="B84" s="6"/>
      <c r="C84" s="6"/>
      <c r="D84" s="6"/>
      <c r="E84" s="3"/>
      <c r="F84" s="53">
        <v>7932352.77</v>
      </c>
      <c r="G84" s="6"/>
      <c r="H84" s="6"/>
      <c r="I84" s="6"/>
      <c r="J84" s="6"/>
    </row>
    <row r="85" spans="1:10" ht="21.75" customHeight="1">
      <c r="A85" s="6" t="s">
        <v>15</v>
      </c>
      <c r="B85" s="6"/>
      <c r="C85" s="6"/>
      <c r="D85" s="6"/>
      <c r="E85" s="3"/>
      <c r="F85" s="61"/>
      <c r="G85" s="6"/>
      <c r="H85" s="6"/>
      <c r="I85" s="6"/>
      <c r="J85" s="6"/>
    </row>
    <row r="86" spans="1:10" ht="21.75" customHeight="1">
      <c r="A86" s="344" t="s">
        <v>16</v>
      </c>
      <c r="B86" s="344"/>
      <c r="C86" s="344" t="s">
        <v>17</v>
      </c>
      <c r="D86" s="344"/>
      <c r="E86" s="345" t="s">
        <v>10</v>
      </c>
      <c r="F86" s="346"/>
      <c r="G86" s="6"/>
      <c r="H86" s="6"/>
      <c r="I86" s="6"/>
      <c r="J86" s="6"/>
    </row>
    <row r="87" spans="1:10" ht="21.75" customHeight="1">
      <c r="A87" s="6"/>
      <c r="B87" s="6"/>
      <c r="C87" s="6"/>
      <c r="D87" s="6"/>
      <c r="E87" s="3"/>
      <c r="F87" s="61"/>
      <c r="G87" s="6"/>
      <c r="H87" s="6"/>
      <c r="I87" s="6"/>
      <c r="J87" s="6"/>
    </row>
    <row r="88" spans="1:10" ht="21.75" customHeight="1">
      <c r="A88" s="6" t="s">
        <v>18</v>
      </c>
      <c r="B88" s="6"/>
      <c r="C88" s="6" t="s">
        <v>18</v>
      </c>
      <c r="D88" s="6"/>
      <c r="E88" s="3"/>
      <c r="F88" s="61"/>
      <c r="G88" s="6"/>
      <c r="H88" s="6"/>
      <c r="I88" s="6"/>
      <c r="J88" s="6"/>
    </row>
    <row r="89" spans="1:10" ht="21.75" customHeight="1">
      <c r="A89" s="6" t="s">
        <v>18</v>
      </c>
      <c r="B89" s="6"/>
      <c r="C89" s="6" t="s">
        <v>18</v>
      </c>
      <c r="D89" s="6"/>
      <c r="E89" s="3"/>
      <c r="F89" s="61"/>
      <c r="G89" s="6"/>
      <c r="H89" s="6"/>
      <c r="I89" s="6"/>
      <c r="J89" s="6"/>
    </row>
    <row r="90" spans="1:10" ht="21.75" customHeight="1" thickBot="1">
      <c r="A90" s="6"/>
      <c r="B90" s="6"/>
      <c r="C90" s="6"/>
      <c r="D90" s="6"/>
      <c r="E90" s="3"/>
      <c r="F90" s="99">
        <f>SUM(F88:F89)</f>
        <v>0</v>
      </c>
      <c r="G90" s="6"/>
      <c r="H90" s="6"/>
      <c r="I90" s="6"/>
      <c r="J90" s="6"/>
    </row>
    <row r="91" spans="1:10" ht="21.75" customHeight="1" thickTop="1">
      <c r="A91" s="6" t="s">
        <v>19</v>
      </c>
      <c r="B91" s="6"/>
      <c r="C91" s="6"/>
      <c r="D91" s="6"/>
      <c r="E91" s="3"/>
      <c r="F91" s="61"/>
      <c r="G91" s="6"/>
      <c r="H91" s="6"/>
      <c r="I91" s="6"/>
      <c r="J91" s="6"/>
    </row>
    <row r="92" spans="1:10" ht="21.75" customHeight="1">
      <c r="A92" s="344" t="s">
        <v>20</v>
      </c>
      <c r="B92" s="344"/>
      <c r="C92" s="344" t="s">
        <v>21</v>
      </c>
      <c r="D92" s="344"/>
      <c r="E92" s="345" t="s">
        <v>10</v>
      </c>
      <c r="F92" s="346"/>
      <c r="G92" s="6"/>
      <c r="H92" s="6"/>
      <c r="I92" s="6"/>
      <c r="J92" s="6"/>
    </row>
    <row r="93" spans="1:10" ht="21.75" customHeight="1">
      <c r="A93" s="292" t="s">
        <v>317</v>
      </c>
      <c r="B93" s="293"/>
      <c r="C93" s="122">
        <v>75813</v>
      </c>
      <c r="D93" s="6"/>
      <c r="E93" s="3"/>
      <c r="F93" s="53">
        <v>1663.2</v>
      </c>
      <c r="G93" s="6"/>
      <c r="H93" s="6"/>
      <c r="I93" s="6"/>
      <c r="J93" s="6"/>
    </row>
    <row r="94" spans="1:10" ht="21.75" customHeight="1">
      <c r="A94" s="292" t="s">
        <v>318</v>
      </c>
      <c r="B94" s="293"/>
      <c r="C94" s="122">
        <v>75817</v>
      </c>
      <c r="D94" s="6"/>
      <c r="E94" s="3"/>
      <c r="F94" s="53">
        <v>5742</v>
      </c>
      <c r="G94" s="6"/>
      <c r="H94" s="6"/>
      <c r="I94" s="6"/>
      <c r="J94" s="6"/>
    </row>
    <row r="95" spans="1:10" ht="21.75" customHeight="1">
      <c r="A95" s="292" t="s">
        <v>319</v>
      </c>
      <c r="B95" s="293"/>
      <c r="C95" s="122">
        <v>77628</v>
      </c>
      <c r="D95" s="6"/>
      <c r="E95" s="3"/>
      <c r="F95" s="53">
        <v>20000</v>
      </c>
      <c r="G95" s="6"/>
      <c r="H95" s="6"/>
      <c r="I95" s="6"/>
      <c r="J95" s="6"/>
    </row>
    <row r="96" spans="1:10" ht="21.75" customHeight="1">
      <c r="A96" s="292" t="s">
        <v>320</v>
      </c>
      <c r="B96" s="293"/>
      <c r="C96" s="122">
        <v>77635</v>
      </c>
      <c r="D96" s="6"/>
      <c r="E96" s="3"/>
      <c r="F96" s="53">
        <v>17325</v>
      </c>
      <c r="G96" s="6"/>
      <c r="H96" s="6"/>
      <c r="I96" s="6"/>
      <c r="J96" s="6"/>
    </row>
    <row r="97" spans="1:10" ht="21.75" customHeight="1">
      <c r="A97" s="292" t="s">
        <v>320</v>
      </c>
      <c r="B97" s="293"/>
      <c r="C97" s="78">
        <v>77636</v>
      </c>
      <c r="D97" s="6"/>
      <c r="E97" s="3"/>
      <c r="F97" s="53">
        <v>2227.5</v>
      </c>
      <c r="G97" s="6"/>
      <c r="H97" s="6"/>
      <c r="I97" s="6"/>
      <c r="J97" s="6"/>
    </row>
    <row r="98" spans="1:10" ht="21.75" customHeight="1">
      <c r="A98" s="292" t="s">
        <v>320</v>
      </c>
      <c r="B98" s="293"/>
      <c r="C98" s="122">
        <v>77637</v>
      </c>
      <c r="D98" s="6"/>
      <c r="E98" s="3"/>
      <c r="F98" s="53">
        <v>2108.7</v>
      </c>
      <c r="G98" s="6"/>
      <c r="H98" s="6"/>
      <c r="I98" s="6"/>
      <c r="J98" s="6"/>
    </row>
    <row r="99" spans="1:10" ht="21.75" customHeight="1">
      <c r="A99" s="292" t="s">
        <v>320</v>
      </c>
      <c r="B99" s="293"/>
      <c r="C99" s="78">
        <v>77638</v>
      </c>
      <c r="D99" s="6"/>
      <c r="E99" s="3"/>
      <c r="F99" s="53">
        <v>21852</v>
      </c>
      <c r="G99" s="6"/>
      <c r="H99" s="6"/>
      <c r="I99" s="6"/>
      <c r="J99" s="6"/>
    </row>
    <row r="100" spans="1:10" ht="21.75" customHeight="1">
      <c r="A100" s="292" t="s">
        <v>320</v>
      </c>
      <c r="B100" s="293"/>
      <c r="C100" s="122">
        <v>77639</v>
      </c>
      <c r="D100" s="6"/>
      <c r="E100" s="3"/>
      <c r="F100" s="53">
        <v>10000</v>
      </c>
      <c r="G100" s="6"/>
      <c r="H100" s="6"/>
      <c r="I100" s="6"/>
      <c r="J100" s="6"/>
    </row>
    <row r="101" spans="1:10" ht="21.75" customHeight="1">
      <c r="A101" s="292" t="s">
        <v>320</v>
      </c>
      <c r="B101" s="293"/>
      <c r="C101" s="78">
        <v>77640</v>
      </c>
      <c r="D101" s="6"/>
      <c r="E101" s="3"/>
      <c r="F101" s="53">
        <v>23760</v>
      </c>
      <c r="G101" s="6"/>
      <c r="H101" s="6"/>
      <c r="I101" s="6"/>
      <c r="J101" s="6"/>
    </row>
    <row r="102" spans="1:10" ht="21.75" customHeight="1">
      <c r="A102" s="292" t="s">
        <v>320</v>
      </c>
      <c r="B102" s="293"/>
      <c r="C102" s="122">
        <v>77641</v>
      </c>
      <c r="D102" s="6"/>
      <c r="E102" s="3"/>
      <c r="F102" s="53">
        <v>11325.6</v>
      </c>
      <c r="G102" s="6"/>
      <c r="H102" s="6"/>
      <c r="I102" s="6"/>
      <c r="J102" s="6"/>
    </row>
    <row r="103" spans="1:10" ht="21.75" customHeight="1">
      <c r="A103" s="292" t="s">
        <v>320</v>
      </c>
      <c r="B103" s="293"/>
      <c r="C103" s="78">
        <v>77642</v>
      </c>
      <c r="D103" s="6"/>
      <c r="E103" s="3"/>
      <c r="F103" s="53">
        <v>2400</v>
      </c>
      <c r="G103" s="6"/>
      <c r="H103" s="6"/>
      <c r="I103" s="6"/>
      <c r="J103" s="6"/>
    </row>
    <row r="104" spans="1:10" ht="21.75" customHeight="1" thickBot="1">
      <c r="A104" s="292"/>
      <c r="B104" s="293"/>
      <c r="C104" s="66"/>
      <c r="D104" s="6"/>
      <c r="E104" s="3"/>
      <c r="F104" s="57">
        <f>SUM(F93:F103)</f>
        <v>118404</v>
      </c>
      <c r="G104" s="6"/>
      <c r="H104" s="6"/>
      <c r="I104" s="6"/>
      <c r="J104" s="6"/>
    </row>
    <row r="105" spans="1:10" ht="21.75" customHeight="1" thickTop="1">
      <c r="A105" s="6" t="s">
        <v>22</v>
      </c>
      <c r="B105" s="6"/>
      <c r="C105" s="6"/>
      <c r="D105" s="6"/>
      <c r="E105" s="3"/>
      <c r="F105" s="67"/>
      <c r="G105" s="6"/>
      <c r="H105" s="59"/>
      <c r="I105" s="6"/>
      <c r="J105" s="6"/>
    </row>
    <row r="106" spans="1:10" ht="21.75" customHeight="1">
      <c r="A106" s="68" t="s">
        <v>23</v>
      </c>
      <c r="B106" s="6"/>
      <c r="C106" s="6"/>
      <c r="D106" s="6"/>
      <c r="E106" s="3"/>
      <c r="F106" s="61"/>
      <c r="G106" s="6"/>
      <c r="H106" s="6"/>
      <c r="I106" s="6"/>
      <c r="J106" s="6"/>
    </row>
    <row r="107" spans="1:10" ht="21.75" customHeight="1">
      <c r="A107" s="6" t="s">
        <v>18</v>
      </c>
      <c r="B107" s="6"/>
      <c r="C107" s="6" t="s">
        <v>18</v>
      </c>
      <c r="D107" s="6"/>
      <c r="E107" s="3"/>
      <c r="F107" s="61"/>
      <c r="G107" s="6"/>
      <c r="H107" s="6"/>
      <c r="I107" s="6"/>
      <c r="J107" s="6"/>
    </row>
    <row r="108" spans="1:10" ht="24" customHeight="1">
      <c r="A108" s="4" t="s">
        <v>314</v>
      </c>
      <c r="B108" s="4"/>
      <c r="C108" s="4"/>
      <c r="D108" s="4"/>
      <c r="E108" s="4"/>
      <c r="F108" s="69">
        <f>SUM(F84+F90-F104)</f>
        <v>7813948.77</v>
      </c>
      <c r="G108" s="4"/>
      <c r="H108" s="4"/>
      <c r="I108" s="4"/>
      <c r="J108" s="4"/>
    </row>
    <row r="109" spans="1:10" ht="21.75" customHeight="1">
      <c r="A109" s="6" t="s">
        <v>24</v>
      </c>
      <c r="B109" s="6"/>
      <c r="C109" s="6"/>
      <c r="D109" s="6"/>
      <c r="E109" s="64"/>
      <c r="F109" s="6" t="s">
        <v>25</v>
      </c>
      <c r="G109" s="6"/>
      <c r="H109" s="6"/>
      <c r="I109" s="6"/>
      <c r="J109" s="6"/>
    </row>
    <row r="110" spans="1:10" ht="21.75" customHeight="1">
      <c r="A110" s="6"/>
      <c r="B110" s="6"/>
      <c r="C110" s="6"/>
      <c r="D110" s="6"/>
      <c r="E110" s="61"/>
      <c r="F110" s="6"/>
      <c r="G110" s="6"/>
      <c r="H110" s="6"/>
      <c r="I110" s="6"/>
      <c r="J110" s="6"/>
    </row>
    <row r="111" spans="1:10" ht="21.75" customHeight="1">
      <c r="A111" s="6" t="s">
        <v>315</v>
      </c>
      <c r="B111" s="6"/>
      <c r="C111" s="6"/>
      <c r="D111" s="6"/>
      <c r="E111" s="61"/>
      <c r="F111" s="6" t="s">
        <v>316</v>
      </c>
      <c r="G111" s="6"/>
      <c r="H111" s="6"/>
      <c r="I111" s="6"/>
      <c r="J111" s="6"/>
    </row>
    <row r="112" spans="1:10" ht="21.75" customHeight="1">
      <c r="A112" s="3" t="s">
        <v>261</v>
      </c>
      <c r="B112" s="6"/>
      <c r="C112" s="6"/>
      <c r="D112" s="6"/>
      <c r="E112" s="61"/>
      <c r="F112" s="6" t="s">
        <v>269</v>
      </c>
      <c r="G112" s="6"/>
      <c r="H112" s="6"/>
      <c r="I112" s="6"/>
      <c r="J112" s="6"/>
    </row>
    <row r="113" spans="1:10" ht="21.75" customHeight="1">
      <c r="A113" s="4"/>
      <c r="B113" s="4"/>
      <c r="C113" s="4"/>
      <c r="D113" s="4"/>
      <c r="E113" s="62"/>
      <c r="F113" s="4"/>
      <c r="G113" s="4"/>
      <c r="H113" s="4"/>
      <c r="I113" s="4"/>
      <c r="J113" s="4"/>
    </row>
    <row r="114" spans="1:10" ht="21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1" ht="21.75" customHeight="1">
      <c r="A115" s="293" t="s">
        <v>241</v>
      </c>
      <c r="B115" s="293"/>
      <c r="C115" s="293"/>
      <c r="D115" s="293" t="s">
        <v>242</v>
      </c>
      <c r="E115" s="293"/>
      <c r="F115" s="293"/>
      <c r="G115" s="6"/>
      <c r="H115" s="293" t="s">
        <v>289</v>
      </c>
      <c r="I115" s="293"/>
      <c r="J115" s="293"/>
      <c r="K115" s="101"/>
    </row>
    <row r="116" spans="1:11" ht="21.75" customHeight="1">
      <c r="A116" s="293" t="s">
        <v>11</v>
      </c>
      <c r="B116" s="293"/>
      <c r="C116" s="293"/>
      <c r="D116" s="293" t="s">
        <v>12</v>
      </c>
      <c r="E116" s="293"/>
      <c r="F116" s="293"/>
      <c r="G116" s="293"/>
      <c r="H116" s="348" t="s">
        <v>290</v>
      </c>
      <c r="I116" s="348"/>
      <c r="J116" s="348"/>
      <c r="K116" s="101"/>
    </row>
    <row r="117" spans="1:11" ht="21.75" customHeight="1">
      <c r="A117" s="60"/>
      <c r="B117" s="60"/>
      <c r="C117" s="60"/>
      <c r="D117" s="60"/>
      <c r="E117" s="60"/>
      <c r="F117" s="60"/>
      <c r="G117" s="60"/>
      <c r="H117" s="42"/>
      <c r="I117" s="42"/>
      <c r="J117" s="42"/>
      <c r="K117" s="101"/>
    </row>
    <row r="118" spans="1:10" ht="21.75" customHeight="1">
      <c r="A118" s="294" t="s">
        <v>245</v>
      </c>
      <c r="B118" s="294"/>
      <c r="C118" s="294"/>
      <c r="D118" s="294"/>
      <c r="E118" s="295"/>
      <c r="F118" s="296" t="s">
        <v>260</v>
      </c>
      <c r="G118" s="294"/>
      <c r="H118" s="294"/>
      <c r="I118" s="294"/>
      <c r="J118" s="294"/>
    </row>
    <row r="119" spans="1:10" ht="21.75" customHeight="1">
      <c r="A119" s="6"/>
      <c r="B119" s="6"/>
      <c r="C119" s="6"/>
      <c r="D119" s="6"/>
      <c r="E119" s="61"/>
      <c r="F119" s="6"/>
      <c r="G119" s="6"/>
      <c r="H119" s="6"/>
      <c r="I119" s="6"/>
      <c r="J119" s="6"/>
    </row>
    <row r="120" spans="1:10" ht="21.75" customHeight="1">
      <c r="A120" s="297" t="s">
        <v>13</v>
      </c>
      <c r="B120" s="287"/>
      <c r="C120" s="287"/>
      <c r="D120" s="287"/>
      <c r="E120" s="288"/>
      <c r="F120" s="6" t="s">
        <v>268</v>
      </c>
      <c r="G120" s="6"/>
      <c r="H120" s="6"/>
      <c r="I120" s="6"/>
      <c r="J120" s="6"/>
    </row>
    <row r="121" spans="1:10" ht="21.75" customHeight="1">
      <c r="A121" s="4"/>
      <c r="B121" s="4"/>
      <c r="C121" s="4"/>
      <c r="D121" s="4"/>
      <c r="E121" s="62"/>
      <c r="F121" s="4"/>
      <c r="G121" s="4"/>
      <c r="H121" s="4"/>
      <c r="I121" s="4"/>
      <c r="J121" s="4"/>
    </row>
    <row r="122" spans="1:10" ht="21.75" customHeight="1">
      <c r="A122" s="6"/>
      <c r="B122" s="6"/>
      <c r="C122" s="6"/>
      <c r="D122" s="6"/>
      <c r="E122" s="63"/>
      <c r="F122" s="64"/>
      <c r="G122" s="6"/>
      <c r="H122" s="349" t="s">
        <v>14</v>
      </c>
      <c r="I122" s="349"/>
      <c r="J122" s="6"/>
    </row>
    <row r="123" spans="1:10" ht="21.75" customHeight="1">
      <c r="A123" s="6" t="s">
        <v>313</v>
      </c>
      <c r="B123" s="6"/>
      <c r="C123" s="6"/>
      <c r="D123" s="6"/>
      <c r="E123" s="3"/>
      <c r="F123" s="53">
        <v>7932352.77</v>
      </c>
      <c r="G123" s="6"/>
      <c r="H123" s="6"/>
      <c r="I123" s="6"/>
      <c r="J123" s="6"/>
    </row>
    <row r="124" spans="1:10" ht="21.75" customHeight="1">
      <c r="A124" s="6" t="s">
        <v>15</v>
      </c>
      <c r="B124" s="6"/>
      <c r="C124" s="6"/>
      <c r="D124" s="6"/>
      <c r="E124" s="3"/>
      <c r="F124" s="61"/>
      <c r="G124" s="6"/>
      <c r="H124" s="6"/>
      <c r="I124" s="6"/>
      <c r="J124" s="6"/>
    </row>
    <row r="125" spans="1:10" ht="21.75" customHeight="1">
      <c r="A125" s="344" t="s">
        <v>16</v>
      </c>
      <c r="B125" s="344"/>
      <c r="C125" s="344" t="s">
        <v>17</v>
      </c>
      <c r="D125" s="344"/>
      <c r="E125" s="345" t="s">
        <v>10</v>
      </c>
      <c r="F125" s="346"/>
      <c r="G125" s="6"/>
      <c r="H125" s="6"/>
      <c r="I125" s="6"/>
      <c r="J125" s="6"/>
    </row>
    <row r="126" spans="1:10" ht="21.75" customHeight="1">
      <c r="A126" s="6"/>
      <c r="B126" s="6"/>
      <c r="C126" s="6"/>
      <c r="D126" s="6"/>
      <c r="E126" s="3"/>
      <c r="F126" s="61"/>
      <c r="G126" s="6"/>
      <c r="H126" s="6"/>
      <c r="I126" s="6"/>
      <c r="J126" s="6"/>
    </row>
    <row r="127" spans="1:10" ht="21.75" customHeight="1">
      <c r="A127" s="6" t="s">
        <v>18</v>
      </c>
      <c r="B127" s="6"/>
      <c r="C127" s="6" t="s">
        <v>18</v>
      </c>
      <c r="D127" s="6"/>
      <c r="E127" s="3"/>
      <c r="F127" s="61"/>
      <c r="G127" s="6"/>
      <c r="H127" s="6"/>
      <c r="I127" s="6"/>
      <c r="J127" s="6"/>
    </row>
    <row r="128" spans="1:10" ht="21.75" customHeight="1">
      <c r="A128" s="6" t="s">
        <v>18</v>
      </c>
      <c r="B128" s="6"/>
      <c r="C128" s="6" t="s">
        <v>18</v>
      </c>
      <c r="D128" s="6"/>
      <c r="E128" s="3"/>
      <c r="F128" s="61"/>
      <c r="G128" s="6"/>
      <c r="H128" s="6"/>
      <c r="I128" s="6"/>
      <c r="J128" s="6"/>
    </row>
    <row r="129" spans="1:10" ht="21.75" customHeight="1" thickBot="1">
      <c r="A129" s="6"/>
      <c r="B129" s="6"/>
      <c r="C129" s="6"/>
      <c r="D129" s="6"/>
      <c r="E129" s="3"/>
      <c r="F129" s="99">
        <f>SUM(F127:F128)</f>
        <v>0</v>
      </c>
      <c r="G129" s="6"/>
      <c r="H129" s="6"/>
      <c r="I129" s="6"/>
      <c r="J129" s="6"/>
    </row>
    <row r="130" spans="1:10" ht="21.75" customHeight="1" thickTop="1">
      <c r="A130" s="6" t="s">
        <v>19</v>
      </c>
      <c r="B130" s="6"/>
      <c r="C130" s="6"/>
      <c r="D130" s="6"/>
      <c r="E130" s="3"/>
      <c r="F130" s="61"/>
      <c r="G130" s="6"/>
      <c r="H130" s="6"/>
      <c r="I130" s="6"/>
      <c r="J130" s="6"/>
    </row>
    <row r="131" spans="1:10" ht="21.75" customHeight="1">
      <c r="A131" s="344" t="s">
        <v>20</v>
      </c>
      <c r="B131" s="344"/>
      <c r="C131" s="344" t="s">
        <v>21</v>
      </c>
      <c r="D131" s="344"/>
      <c r="E131" s="345" t="s">
        <v>10</v>
      </c>
      <c r="F131" s="346"/>
      <c r="G131" s="6"/>
      <c r="H131" s="6"/>
      <c r="I131" s="6"/>
      <c r="J131" s="6"/>
    </row>
    <row r="132" spans="1:10" ht="21.75" customHeight="1">
      <c r="A132" s="292" t="s">
        <v>1</v>
      </c>
      <c r="B132" s="293"/>
      <c r="C132" s="122"/>
      <c r="D132" s="6"/>
      <c r="E132" s="3"/>
      <c r="F132" s="53">
        <f>SUM(F104)</f>
        <v>118404</v>
      </c>
      <c r="G132" s="6"/>
      <c r="H132" s="6"/>
      <c r="I132" s="6"/>
      <c r="J132" s="6"/>
    </row>
    <row r="133" spans="1:10" ht="21.75" customHeight="1">
      <c r="A133" s="292" t="s">
        <v>320</v>
      </c>
      <c r="B133" s="293"/>
      <c r="C133" s="122">
        <v>77643</v>
      </c>
      <c r="D133" s="6"/>
      <c r="E133" s="3"/>
      <c r="F133" s="53">
        <v>4906</v>
      </c>
      <c r="G133" s="6"/>
      <c r="H133" s="6"/>
      <c r="I133" s="6"/>
      <c r="J133" s="6"/>
    </row>
    <row r="134" spans="1:10" ht="21.75" customHeight="1">
      <c r="A134" s="292" t="s">
        <v>320</v>
      </c>
      <c r="B134" s="293"/>
      <c r="C134" s="122">
        <v>77644</v>
      </c>
      <c r="D134" s="6"/>
      <c r="E134" s="3"/>
      <c r="F134" s="53">
        <v>4000</v>
      </c>
      <c r="G134" s="6"/>
      <c r="H134" s="6"/>
      <c r="I134" s="6"/>
      <c r="J134" s="6"/>
    </row>
    <row r="135" spans="1:10" ht="21.75" customHeight="1">
      <c r="A135" s="292" t="s">
        <v>320</v>
      </c>
      <c r="B135" s="293"/>
      <c r="C135" s="122">
        <v>77645</v>
      </c>
      <c r="D135" s="6"/>
      <c r="E135" s="3"/>
      <c r="F135" s="53">
        <v>84342.01</v>
      </c>
      <c r="G135" s="6"/>
      <c r="H135" s="6"/>
      <c r="I135" s="6"/>
      <c r="J135" s="6"/>
    </row>
    <row r="136" spans="1:10" ht="21.75" customHeight="1">
      <c r="A136" s="292" t="s">
        <v>320</v>
      </c>
      <c r="B136" s="293"/>
      <c r="C136" s="122">
        <v>77646</v>
      </c>
      <c r="D136" s="6"/>
      <c r="E136" s="3"/>
      <c r="F136" s="53">
        <v>400</v>
      </c>
      <c r="G136" s="6"/>
      <c r="H136" s="6"/>
      <c r="I136" s="6"/>
      <c r="J136" s="6"/>
    </row>
    <row r="137" spans="1:10" ht="21.75" customHeight="1">
      <c r="A137" s="292" t="s">
        <v>320</v>
      </c>
      <c r="B137" s="293"/>
      <c r="C137" s="122">
        <v>77647</v>
      </c>
      <c r="D137" s="6"/>
      <c r="E137" s="3"/>
      <c r="F137" s="53">
        <v>12795.63</v>
      </c>
      <c r="G137" s="6"/>
      <c r="H137" s="6"/>
      <c r="I137" s="6"/>
      <c r="J137" s="6"/>
    </row>
    <row r="138" spans="1:10" ht="21.75" customHeight="1">
      <c r="A138" s="292" t="s">
        <v>320</v>
      </c>
      <c r="B138" s="293"/>
      <c r="C138" s="122">
        <v>77648</v>
      </c>
      <c r="D138" s="6"/>
      <c r="E138" s="3"/>
      <c r="F138" s="53">
        <v>11281.05</v>
      </c>
      <c r="G138" s="6"/>
      <c r="H138" s="6"/>
      <c r="I138" s="6"/>
      <c r="J138" s="6"/>
    </row>
    <row r="139" spans="1:10" ht="21.75" customHeight="1">
      <c r="A139" s="292" t="s">
        <v>320</v>
      </c>
      <c r="B139" s="293"/>
      <c r="C139" s="122">
        <v>77649</v>
      </c>
      <c r="D139" s="6"/>
      <c r="E139" s="3"/>
      <c r="F139" s="53">
        <v>594</v>
      </c>
      <c r="G139" s="6"/>
      <c r="H139" s="6"/>
      <c r="I139" s="6"/>
      <c r="J139" s="6"/>
    </row>
    <row r="140" spans="1:10" ht="21.75" customHeight="1">
      <c r="A140" s="292" t="s">
        <v>320</v>
      </c>
      <c r="B140" s="293"/>
      <c r="C140" s="122">
        <v>77650</v>
      </c>
      <c r="D140" s="6"/>
      <c r="E140" s="3"/>
      <c r="F140" s="53">
        <v>10000</v>
      </c>
      <c r="G140" s="6"/>
      <c r="H140" s="6"/>
      <c r="I140" s="6"/>
      <c r="J140" s="6"/>
    </row>
    <row r="141" spans="1:10" ht="21.75" customHeight="1">
      <c r="A141" s="292"/>
      <c r="B141" s="293"/>
      <c r="C141" s="122"/>
      <c r="D141" s="6"/>
      <c r="E141" s="3"/>
      <c r="F141" s="53"/>
      <c r="G141" s="6"/>
      <c r="H141" s="6"/>
      <c r="I141" s="6"/>
      <c r="J141" s="6"/>
    </row>
    <row r="142" spans="1:10" ht="21.75" customHeight="1">
      <c r="A142" s="292"/>
      <c r="B142" s="293"/>
      <c r="C142" s="78"/>
      <c r="D142" s="6"/>
      <c r="E142" s="3"/>
      <c r="F142" s="53"/>
      <c r="G142" s="6"/>
      <c r="H142" s="6"/>
      <c r="I142" s="6"/>
      <c r="J142" s="6"/>
    </row>
    <row r="143" spans="1:10" ht="21.75" customHeight="1" thickBot="1">
      <c r="A143" s="292"/>
      <c r="B143" s="293"/>
      <c r="C143" s="66"/>
      <c r="D143" s="6"/>
      <c r="E143" s="3"/>
      <c r="F143" s="57">
        <f>SUM(F132:F142)</f>
        <v>246722.69</v>
      </c>
      <c r="G143" s="6"/>
      <c r="H143" s="6"/>
      <c r="I143" s="6"/>
      <c r="J143" s="6"/>
    </row>
    <row r="144" spans="1:10" ht="21.75" customHeight="1" thickTop="1">
      <c r="A144" s="6" t="s">
        <v>22</v>
      </c>
      <c r="B144" s="6"/>
      <c r="C144" s="6"/>
      <c r="D144" s="6"/>
      <c r="E144" s="3"/>
      <c r="F144" s="67"/>
      <c r="G144" s="6"/>
      <c r="H144" s="59"/>
      <c r="I144" s="6"/>
      <c r="J144" s="59"/>
    </row>
    <row r="145" spans="1:10" ht="21.75" customHeight="1">
      <c r="A145" s="68" t="s">
        <v>23</v>
      </c>
      <c r="B145" s="6"/>
      <c r="C145" s="6"/>
      <c r="D145" s="6"/>
      <c r="E145" s="3"/>
      <c r="F145" s="61"/>
      <c r="G145" s="6"/>
      <c r="H145" s="6"/>
      <c r="I145" s="6"/>
      <c r="J145" s="6"/>
    </row>
    <row r="146" spans="1:10" ht="21.75" customHeight="1">
      <c r="A146" s="6" t="s">
        <v>18</v>
      </c>
      <c r="B146" s="6"/>
      <c r="C146" s="6" t="s">
        <v>18</v>
      </c>
      <c r="D146" s="6"/>
      <c r="E146" s="3"/>
      <c r="F146" s="61"/>
      <c r="G146" s="6"/>
      <c r="H146" s="6"/>
      <c r="I146" s="6"/>
      <c r="J146" s="6"/>
    </row>
    <row r="147" spans="1:10" ht="24" customHeight="1">
      <c r="A147" s="4" t="s">
        <v>314</v>
      </c>
      <c r="B147" s="4"/>
      <c r="C147" s="4"/>
      <c r="D147" s="4"/>
      <c r="E147" s="4"/>
      <c r="F147" s="69">
        <f>SUM(F123+F129-F143)</f>
        <v>7685630.079999999</v>
      </c>
      <c r="G147" s="4"/>
      <c r="H147" s="4"/>
      <c r="I147" s="4"/>
      <c r="J147" s="4"/>
    </row>
    <row r="148" spans="1:10" ht="21.75" customHeight="1">
      <c r="A148" s="6" t="s">
        <v>24</v>
      </c>
      <c r="B148" s="6"/>
      <c r="C148" s="6"/>
      <c r="D148" s="6"/>
      <c r="E148" s="64"/>
      <c r="F148" s="6" t="s">
        <v>25</v>
      </c>
      <c r="G148" s="6"/>
      <c r="H148" s="6"/>
      <c r="I148" s="6"/>
      <c r="J148" s="6"/>
    </row>
    <row r="149" spans="1:10" ht="21.75" customHeight="1">
      <c r="A149" s="6"/>
      <c r="B149" s="6"/>
      <c r="C149" s="6"/>
      <c r="D149" s="6"/>
      <c r="E149" s="61"/>
      <c r="F149" s="6"/>
      <c r="G149" s="6"/>
      <c r="H149" s="6"/>
      <c r="I149" s="6"/>
      <c r="J149" s="6"/>
    </row>
    <row r="150" spans="1:10" ht="21.75" customHeight="1">
      <c r="A150" s="6" t="s">
        <v>315</v>
      </c>
      <c r="B150" s="6"/>
      <c r="C150" s="6"/>
      <c r="D150" s="6"/>
      <c r="E150" s="61"/>
      <c r="F150" s="6" t="s">
        <v>316</v>
      </c>
      <c r="G150" s="6"/>
      <c r="H150" s="6"/>
      <c r="I150" s="6"/>
      <c r="J150" s="6"/>
    </row>
    <row r="151" spans="1:10" ht="21.75" customHeight="1">
      <c r="A151" s="3" t="s">
        <v>261</v>
      </c>
      <c r="B151" s="6"/>
      <c r="C151" s="6"/>
      <c r="D151" s="6"/>
      <c r="E151" s="61"/>
      <c r="F151" s="6" t="s">
        <v>269</v>
      </c>
      <c r="G151" s="6"/>
      <c r="H151" s="6"/>
      <c r="I151" s="6"/>
      <c r="J151" s="6"/>
    </row>
    <row r="152" spans="1:10" ht="21.75" customHeight="1">
      <c r="A152" s="4"/>
      <c r="B152" s="4"/>
      <c r="C152" s="4"/>
      <c r="D152" s="4"/>
      <c r="E152" s="62"/>
      <c r="F152" s="4"/>
      <c r="G152" s="4"/>
      <c r="H152" s="4"/>
      <c r="I152" s="4"/>
      <c r="J152" s="4"/>
    </row>
    <row r="153" spans="1:10" ht="21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1" ht="21.75" customHeight="1">
      <c r="A154" s="293" t="s">
        <v>241</v>
      </c>
      <c r="B154" s="293"/>
      <c r="C154" s="293"/>
      <c r="D154" s="293" t="s">
        <v>242</v>
      </c>
      <c r="E154" s="293"/>
      <c r="F154" s="293"/>
      <c r="G154" s="6"/>
      <c r="H154" s="293" t="s">
        <v>289</v>
      </c>
      <c r="I154" s="293"/>
      <c r="J154" s="293"/>
      <c r="K154" s="101"/>
    </row>
    <row r="155" spans="1:11" ht="21.75" customHeight="1">
      <c r="A155" s="293" t="s">
        <v>11</v>
      </c>
      <c r="B155" s="293"/>
      <c r="C155" s="293"/>
      <c r="D155" s="293" t="s">
        <v>12</v>
      </c>
      <c r="E155" s="293"/>
      <c r="F155" s="293"/>
      <c r="G155" s="293"/>
      <c r="H155" s="348" t="s">
        <v>290</v>
      </c>
      <c r="I155" s="348"/>
      <c r="J155" s="348"/>
      <c r="K155" s="101"/>
    </row>
  </sheetData>
  <sheetProtection/>
  <mergeCells count="88">
    <mergeCell ref="A154:C154"/>
    <mergeCell ref="D154:F154"/>
    <mergeCell ref="H154:J154"/>
    <mergeCell ref="A155:C155"/>
    <mergeCell ref="D155:G155"/>
    <mergeCell ref="H155:J155"/>
    <mergeCell ref="A140:B140"/>
    <mergeCell ref="A141:B141"/>
    <mergeCell ref="A142:B142"/>
    <mergeCell ref="A143:B143"/>
    <mergeCell ref="A136:B136"/>
    <mergeCell ref="A137:B137"/>
    <mergeCell ref="A138:B138"/>
    <mergeCell ref="A139:B139"/>
    <mergeCell ref="A132:B132"/>
    <mergeCell ref="A133:B133"/>
    <mergeCell ref="A134:B134"/>
    <mergeCell ref="A135:B135"/>
    <mergeCell ref="A125:B125"/>
    <mergeCell ref="C125:D125"/>
    <mergeCell ref="E125:F125"/>
    <mergeCell ref="A131:B131"/>
    <mergeCell ref="C131:D131"/>
    <mergeCell ref="E131:F131"/>
    <mergeCell ref="A118:E118"/>
    <mergeCell ref="F118:J118"/>
    <mergeCell ref="A120:E120"/>
    <mergeCell ref="H122:I122"/>
    <mergeCell ref="H83:I83"/>
    <mergeCell ref="H46:I46"/>
    <mergeCell ref="A103:B103"/>
    <mergeCell ref="A102:B102"/>
    <mergeCell ref="A86:B86"/>
    <mergeCell ref="C86:D86"/>
    <mergeCell ref="E86:F86"/>
    <mergeCell ref="H77:J77"/>
    <mergeCell ref="D76:F76"/>
    <mergeCell ref="E92:F92"/>
    <mergeCell ref="H116:J116"/>
    <mergeCell ref="H115:J115"/>
    <mergeCell ref="D115:F115"/>
    <mergeCell ref="A97:B97"/>
    <mergeCell ref="A98:B98"/>
    <mergeCell ref="A99:B99"/>
    <mergeCell ref="A100:B100"/>
    <mergeCell ref="D116:G116"/>
    <mergeCell ref="A116:C116"/>
    <mergeCell ref="A104:B104"/>
    <mergeCell ref="A115:C115"/>
    <mergeCell ref="A96:B96"/>
    <mergeCell ref="A92:B92"/>
    <mergeCell ref="A94:B94"/>
    <mergeCell ref="C92:D92"/>
    <mergeCell ref="A95:B95"/>
    <mergeCell ref="A93:B93"/>
    <mergeCell ref="A101:B101"/>
    <mergeCell ref="D41:F41"/>
    <mergeCell ref="D39:G39"/>
    <mergeCell ref="A55:B55"/>
    <mergeCell ref="E54:F54"/>
    <mergeCell ref="C54:D54"/>
    <mergeCell ref="A49:B49"/>
    <mergeCell ref="A54:B54"/>
    <mergeCell ref="A38:C38"/>
    <mergeCell ref="D38:F38"/>
    <mergeCell ref="C49:D49"/>
    <mergeCell ref="E49:F49"/>
    <mergeCell ref="A42:E42"/>
    <mergeCell ref="F42:J42"/>
    <mergeCell ref="A44:E44"/>
    <mergeCell ref="H38:J38"/>
    <mergeCell ref="H39:J39"/>
    <mergeCell ref="A39:C39"/>
    <mergeCell ref="A1:J1"/>
    <mergeCell ref="A2:J2"/>
    <mergeCell ref="A3:J3"/>
    <mergeCell ref="A4:C4"/>
    <mergeCell ref="E4:F4"/>
    <mergeCell ref="G4:H4"/>
    <mergeCell ref="I4:J4"/>
    <mergeCell ref="A64:B64"/>
    <mergeCell ref="A79:E79"/>
    <mergeCell ref="F79:J79"/>
    <mergeCell ref="A81:E81"/>
    <mergeCell ref="H76:J76"/>
    <mergeCell ref="A77:C77"/>
    <mergeCell ref="A76:C76"/>
    <mergeCell ref="D77:G77"/>
  </mergeCells>
  <printOptions/>
  <pageMargins left="0" right="0" top="0.5905511811023623" bottom="0.5905511811023623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Normal="75" zoomScaleSheetLayoutView="100" workbookViewId="0" topLeftCell="A58">
      <selection activeCell="E10" sqref="E10"/>
    </sheetView>
  </sheetViews>
  <sheetFormatPr defaultColWidth="9.140625" defaultRowHeight="21.75" customHeight="1"/>
  <cols>
    <col min="1" max="1" width="11.57421875" style="6" customWidth="1"/>
    <col min="2" max="2" width="5.28125" style="6" customWidth="1"/>
    <col min="3" max="3" width="14.28125" style="6" customWidth="1"/>
    <col min="4" max="4" width="5.7109375" style="6" customWidth="1"/>
    <col min="5" max="5" width="38.00390625" style="6" customWidth="1"/>
    <col min="6" max="6" width="12.28125" style="6" customWidth="1"/>
    <col min="7" max="7" width="12.7109375" style="6" customWidth="1"/>
    <col min="8" max="8" width="5.421875" style="6" customWidth="1"/>
    <col min="9" max="9" width="9.140625" style="6" customWidth="1"/>
    <col min="10" max="10" width="16.57421875" style="6" customWidth="1"/>
    <col min="11" max="11" width="19.00390625" style="6" customWidth="1"/>
    <col min="12" max="12" width="19.28125" style="6" customWidth="1"/>
    <col min="13" max="13" width="12.7109375" style="6" bestFit="1" customWidth="1"/>
    <col min="14" max="14" width="10.28125" style="6" bestFit="1" customWidth="1"/>
    <col min="15" max="16384" width="9.140625" style="6" customWidth="1"/>
  </cols>
  <sheetData>
    <row r="1" spans="1:9" ht="21.75" customHeight="1">
      <c r="A1" s="350" t="s">
        <v>245</v>
      </c>
      <c r="B1" s="350"/>
      <c r="C1" s="350"/>
      <c r="D1" s="350"/>
      <c r="E1" s="350"/>
      <c r="F1" s="350"/>
      <c r="G1" s="350"/>
      <c r="H1" s="350"/>
      <c r="I1" s="3"/>
    </row>
    <row r="2" spans="1:9" ht="21.75" customHeight="1">
      <c r="A2" s="350" t="s">
        <v>257</v>
      </c>
      <c r="B2" s="350"/>
      <c r="C2" s="350"/>
      <c r="D2" s="350"/>
      <c r="E2" s="350"/>
      <c r="F2" s="350"/>
      <c r="G2" s="350"/>
      <c r="H2" s="350"/>
      <c r="I2" s="3"/>
    </row>
    <row r="3" spans="1:8" ht="21.75" customHeight="1">
      <c r="A3" s="5"/>
      <c r="B3" s="5"/>
      <c r="C3" s="5"/>
      <c r="D3" s="5"/>
      <c r="E3" s="5"/>
      <c r="F3" s="3" t="s">
        <v>294</v>
      </c>
      <c r="G3" s="3"/>
      <c r="H3" s="3"/>
    </row>
    <row r="4" spans="1:8" ht="21.75" customHeight="1">
      <c r="A4" s="350" t="s">
        <v>208</v>
      </c>
      <c r="B4" s="350"/>
      <c r="C4" s="350"/>
      <c r="D4" s="350"/>
      <c r="E4" s="350"/>
      <c r="F4" s="350"/>
      <c r="G4" s="350"/>
      <c r="H4" s="350"/>
    </row>
    <row r="5" spans="6:8" ht="21.75" customHeight="1">
      <c r="F5" s="351" t="s">
        <v>308</v>
      </c>
      <c r="G5" s="351"/>
      <c r="H5" s="351"/>
    </row>
    <row r="6" spans="1:8" ht="21.75" customHeight="1">
      <c r="A6" s="341" t="s">
        <v>209</v>
      </c>
      <c r="B6" s="342"/>
      <c r="C6" s="342"/>
      <c r="D6" s="342"/>
      <c r="E6" s="352" t="s">
        <v>26</v>
      </c>
      <c r="F6" s="352" t="s">
        <v>27</v>
      </c>
      <c r="G6" s="341" t="s">
        <v>210</v>
      </c>
      <c r="H6" s="343"/>
    </row>
    <row r="7" spans="1:8" ht="21.75" customHeight="1">
      <c r="A7" s="296" t="s">
        <v>53</v>
      </c>
      <c r="B7" s="295"/>
      <c r="C7" s="296" t="s">
        <v>211</v>
      </c>
      <c r="D7" s="295"/>
      <c r="E7" s="353"/>
      <c r="F7" s="353"/>
      <c r="G7" s="296" t="s">
        <v>211</v>
      </c>
      <c r="H7" s="295"/>
    </row>
    <row r="8" spans="1:8" ht="21.75" customHeight="1">
      <c r="A8" s="355" t="s">
        <v>212</v>
      </c>
      <c r="B8" s="356"/>
      <c r="C8" s="355" t="s">
        <v>212</v>
      </c>
      <c r="D8" s="356"/>
      <c r="E8" s="354"/>
      <c r="F8" s="354"/>
      <c r="G8" s="355" t="s">
        <v>212</v>
      </c>
      <c r="H8" s="356"/>
    </row>
    <row r="9" spans="1:8" ht="21.75" customHeight="1">
      <c r="A9" s="7"/>
      <c r="B9" s="7"/>
      <c r="C9" s="14">
        <v>13996016</v>
      </c>
      <c r="D9" s="15">
        <v>24</v>
      </c>
      <c r="E9" s="10" t="s">
        <v>1</v>
      </c>
      <c r="F9" s="10"/>
      <c r="G9" s="11"/>
      <c r="H9" s="11"/>
    </row>
    <row r="10" spans="1:10" ht="21.75" customHeight="1">
      <c r="A10" s="12"/>
      <c r="B10" s="12"/>
      <c r="C10" s="12"/>
      <c r="D10" s="9"/>
      <c r="E10" s="13" t="s">
        <v>309</v>
      </c>
      <c r="F10" s="13"/>
      <c r="G10" s="14">
        <v>14667607</v>
      </c>
      <c r="H10" s="15">
        <v>69</v>
      </c>
      <c r="J10" s="75"/>
    </row>
    <row r="11" spans="1:8" ht="21.75" customHeight="1">
      <c r="A11" s="12"/>
      <c r="B11" s="12"/>
      <c r="C11" s="16"/>
      <c r="D11" s="9"/>
      <c r="E11" s="17" t="s">
        <v>233</v>
      </c>
      <c r="F11" s="13"/>
      <c r="G11" s="18"/>
      <c r="H11" s="19"/>
    </row>
    <row r="12" spans="1:8" ht="21.75" customHeight="1">
      <c r="A12" s="14">
        <f>35000+21000+1700+5000000+20000+500000+1279720+190000+420+25000+20000</f>
        <v>7092840</v>
      </c>
      <c r="B12" s="15"/>
      <c r="C12" s="21">
        <f>280819+141099+1+1220716+346838+1141347+1+410863+926613+1+806917+323618+1244032+1+324456+1566343</f>
        <v>8733665</v>
      </c>
      <c r="D12" s="15">
        <f>93+23-100+7+79-100+23+85-100+19+22+79-100+55+10</f>
        <v>95</v>
      </c>
      <c r="E12" s="13" t="s">
        <v>213</v>
      </c>
      <c r="F12" s="22" t="s">
        <v>57</v>
      </c>
      <c r="G12" s="23">
        <f>355+86064+184600+1272853+9163+6912+6394+2</f>
        <v>1566343</v>
      </c>
      <c r="H12" s="9">
        <f>11+17+28+98+35+21-200</f>
        <v>10</v>
      </c>
    </row>
    <row r="13" spans="1:8" ht="21.75" customHeight="1">
      <c r="A13" s="14">
        <f>760+300+1000+20000+133+13000</f>
        <v>35193</v>
      </c>
      <c r="B13" s="15"/>
      <c r="C13" s="21">
        <f>180+2715+474+4856+2843+5417+1290+800+1068+4996</f>
        <v>24639</v>
      </c>
      <c r="D13" s="9">
        <v>0</v>
      </c>
      <c r="E13" s="13" t="s">
        <v>214</v>
      </c>
      <c r="F13" s="22" t="s">
        <v>72</v>
      </c>
      <c r="G13" s="23"/>
      <c r="H13" s="9"/>
    </row>
    <row r="14" spans="1:8" ht="21.75" customHeight="1">
      <c r="A14" s="14">
        <f>80000</f>
        <v>80000</v>
      </c>
      <c r="B14" s="15"/>
      <c r="C14" s="21">
        <f>30698+14092+4152+1+26915+7462+1</f>
        <v>83321</v>
      </c>
      <c r="D14" s="9">
        <f>30+74-100+91+42-100</f>
        <v>37</v>
      </c>
      <c r="E14" s="13" t="s">
        <v>215</v>
      </c>
      <c r="F14" s="22" t="s">
        <v>134</v>
      </c>
      <c r="G14" s="23">
        <v>7462</v>
      </c>
      <c r="H14" s="15">
        <v>42</v>
      </c>
    </row>
    <row r="15" spans="1:8" ht="21.75" customHeight="1">
      <c r="A15" s="14"/>
      <c r="B15" s="14"/>
      <c r="C15" s="21"/>
      <c r="D15" s="9"/>
      <c r="E15" s="13" t="s">
        <v>216</v>
      </c>
      <c r="F15" s="22" t="s">
        <v>146</v>
      </c>
      <c r="G15" s="23"/>
      <c r="H15" s="9"/>
    </row>
    <row r="16" spans="1:8" ht="21.75" customHeight="1">
      <c r="A16" s="14">
        <f>50000+1200+1000+1000</f>
        <v>53200</v>
      </c>
      <c r="B16" s="15"/>
      <c r="C16" s="21">
        <f>100+900+20+610+10+341410+31260+18170+1200+59600+8000</f>
        <v>461280</v>
      </c>
      <c r="D16" s="15">
        <v>0</v>
      </c>
      <c r="E16" s="13" t="s">
        <v>217</v>
      </c>
      <c r="F16" s="22" t="s">
        <v>155</v>
      </c>
      <c r="G16" s="23">
        <v>8000</v>
      </c>
      <c r="H16" s="9">
        <v>0</v>
      </c>
    </row>
    <row r="17" spans="1:8" ht="21.75" customHeight="1">
      <c r="A17" s="14"/>
      <c r="B17" s="14"/>
      <c r="C17" s="21"/>
      <c r="D17" s="15"/>
      <c r="E17" s="13" t="s">
        <v>218</v>
      </c>
      <c r="F17" s="22" t="s">
        <v>171</v>
      </c>
      <c r="G17" s="23"/>
      <c r="H17" s="9"/>
    </row>
    <row r="18" spans="1:8" ht="21.75" customHeight="1">
      <c r="A18" s="14"/>
      <c r="B18" s="20"/>
      <c r="C18" s="14"/>
      <c r="D18" s="15"/>
      <c r="E18" s="13" t="s">
        <v>219</v>
      </c>
      <c r="F18" s="22">
        <v>1000</v>
      </c>
      <c r="G18" s="23"/>
      <c r="H18" s="9"/>
    </row>
    <row r="19" spans="1:8" ht="21.75" customHeight="1">
      <c r="A19" s="14">
        <v>8287482</v>
      </c>
      <c r="B19" s="15"/>
      <c r="C19" s="14">
        <v>5404004</v>
      </c>
      <c r="D19" s="9">
        <v>0</v>
      </c>
      <c r="E19" s="13" t="s">
        <v>220</v>
      </c>
      <c r="F19" s="22">
        <v>2000</v>
      </c>
      <c r="G19" s="23"/>
      <c r="H19" s="15"/>
    </row>
    <row r="20" spans="1:8" ht="21.75" customHeight="1">
      <c r="A20" s="14"/>
      <c r="B20" s="20"/>
      <c r="C20" s="23"/>
      <c r="D20" s="15"/>
      <c r="E20" s="13" t="s">
        <v>221</v>
      </c>
      <c r="F20" s="22"/>
      <c r="G20" s="23"/>
      <c r="H20" s="15"/>
    </row>
    <row r="21" spans="1:8" ht="21.75" customHeight="1" thickBot="1">
      <c r="A21" s="28">
        <f>SUM(A12:A20)</f>
        <v>15548715</v>
      </c>
      <c r="B21" s="29">
        <f>SUM(B12:B19)</f>
        <v>0</v>
      </c>
      <c r="C21" s="28">
        <f>SUM(C12:C19)+1</f>
        <v>14706910</v>
      </c>
      <c r="D21" s="29">
        <f>SUM(D12:D19)-100</f>
        <v>32</v>
      </c>
      <c r="E21" s="13"/>
      <c r="F21" s="22"/>
      <c r="G21" s="28">
        <f>SUM(G12:G19)</f>
        <v>1581805</v>
      </c>
      <c r="H21" s="29">
        <f>SUM(H12:H19)</f>
        <v>52</v>
      </c>
    </row>
    <row r="22" spans="1:8" ht="21.75" customHeight="1" thickTop="1">
      <c r="A22" s="30"/>
      <c r="B22" s="30"/>
      <c r="C22" s="14"/>
      <c r="D22" s="15"/>
      <c r="E22" s="13"/>
      <c r="F22" s="22"/>
      <c r="G22" s="23"/>
      <c r="H22" s="15"/>
    </row>
    <row r="23" spans="1:8" ht="21.75" customHeight="1">
      <c r="A23" s="30"/>
      <c r="B23" s="30"/>
      <c r="C23" s="14">
        <f>46855+1988+1+19244+5048+1+2893+26514+1+6329+7822+1+50834+1+79325+8366+1+90846</f>
        <v>346070</v>
      </c>
      <c r="D23" s="9">
        <f>86+23-100+88+19-100+53+31-100+95+44-100+84-100+50+43-100+36</f>
        <v>52</v>
      </c>
      <c r="E23" s="13" t="s">
        <v>256</v>
      </c>
      <c r="F23" s="22">
        <v>900</v>
      </c>
      <c r="G23" s="23">
        <v>90846</v>
      </c>
      <c r="H23" s="15">
        <v>36</v>
      </c>
    </row>
    <row r="24" spans="1:8" ht="21.75" customHeight="1">
      <c r="A24" s="30"/>
      <c r="B24" s="30"/>
      <c r="C24" s="14">
        <v>105060</v>
      </c>
      <c r="D24" s="15">
        <v>0</v>
      </c>
      <c r="E24" s="13" t="s">
        <v>299</v>
      </c>
      <c r="F24" s="22">
        <v>700</v>
      </c>
      <c r="G24" s="23"/>
      <c r="H24" s="15"/>
    </row>
    <row r="25" spans="1:8" ht="21.75" customHeight="1">
      <c r="A25" s="30"/>
      <c r="B25" s="30"/>
      <c r="C25" s="14">
        <f>780000+852000+536000+439000</f>
        <v>2607000</v>
      </c>
      <c r="D25" s="15">
        <v>0</v>
      </c>
      <c r="E25" s="13" t="s">
        <v>270</v>
      </c>
      <c r="F25" s="22"/>
      <c r="G25" s="23"/>
      <c r="H25" s="15"/>
    </row>
    <row r="26" spans="1:8" ht="21.75" customHeight="1">
      <c r="A26" s="30"/>
      <c r="B26" s="30"/>
      <c r="C26" s="14">
        <f>70000+420000+268500+117000+268500</f>
        <v>1144000</v>
      </c>
      <c r="D26" s="9">
        <v>0</v>
      </c>
      <c r="E26" s="13" t="s">
        <v>287</v>
      </c>
      <c r="F26" s="22"/>
      <c r="G26" s="23"/>
      <c r="H26" s="15"/>
    </row>
    <row r="27" spans="1:8" ht="21.75" customHeight="1">
      <c r="A27" s="30"/>
      <c r="B27" s="30"/>
      <c r="C27" s="14">
        <f>62076+15519+15519+58275+50463</f>
        <v>201852</v>
      </c>
      <c r="D27" s="15">
        <v>0</v>
      </c>
      <c r="E27" s="148" t="s">
        <v>296</v>
      </c>
      <c r="F27" s="22"/>
      <c r="G27" s="23">
        <v>50463</v>
      </c>
      <c r="H27" s="9">
        <v>0</v>
      </c>
    </row>
    <row r="28" spans="1:8" ht="21.75" customHeight="1">
      <c r="A28" s="30"/>
      <c r="B28" s="30"/>
      <c r="C28" s="14">
        <v>11395</v>
      </c>
      <c r="D28" s="15">
        <v>0</v>
      </c>
      <c r="E28" s="148" t="s">
        <v>310</v>
      </c>
      <c r="F28" s="22"/>
      <c r="G28" s="23">
        <v>11395</v>
      </c>
      <c r="H28" s="15">
        <v>0</v>
      </c>
    </row>
    <row r="29" spans="1:8" ht="21.75" customHeight="1">
      <c r="A29" s="30"/>
      <c r="B29" s="30"/>
      <c r="C29" s="14"/>
      <c r="D29" s="15"/>
      <c r="E29" s="13"/>
      <c r="F29" s="22"/>
      <c r="G29" s="23"/>
      <c r="H29" s="15"/>
    </row>
    <row r="30" spans="1:8" ht="21.75" customHeight="1">
      <c r="A30" s="30"/>
      <c r="B30" s="30"/>
      <c r="C30" s="14"/>
      <c r="D30" s="9"/>
      <c r="E30" s="13"/>
      <c r="F30" s="22"/>
      <c r="G30" s="23"/>
      <c r="H30" s="15"/>
    </row>
    <row r="31" spans="1:8" ht="21.75" customHeight="1">
      <c r="A31" s="30"/>
      <c r="B31" s="30"/>
      <c r="C31" s="14"/>
      <c r="D31" s="9"/>
      <c r="E31" s="13"/>
      <c r="F31" s="31"/>
      <c r="G31" s="14"/>
      <c r="H31" s="19"/>
    </row>
    <row r="32" spans="1:8" ht="21.75" customHeight="1">
      <c r="A32" s="30"/>
      <c r="B32" s="30"/>
      <c r="C32" s="14"/>
      <c r="D32" s="9"/>
      <c r="E32" s="13"/>
      <c r="F32" s="31"/>
      <c r="G32" s="14"/>
      <c r="H32" s="19"/>
    </row>
    <row r="33" spans="1:8" ht="21.75" customHeight="1">
      <c r="A33" s="30"/>
      <c r="B33" s="30"/>
      <c r="C33" s="14"/>
      <c r="D33" s="9"/>
      <c r="E33" s="13"/>
      <c r="F33" s="13"/>
      <c r="G33" s="14"/>
      <c r="H33" s="19"/>
    </row>
    <row r="34" spans="1:8" ht="21.75" customHeight="1">
      <c r="A34" s="32"/>
      <c r="B34" s="32"/>
      <c r="C34" s="33">
        <f>SUM(C22:C31)</f>
        <v>4415377</v>
      </c>
      <c r="D34" s="34">
        <f>SUM(D22:D31)</f>
        <v>52</v>
      </c>
      <c r="E34" s="13"/>
      <c r="F34" s="13"/>
      <c r="G34" s="33">
        <f>SUM(G22:G30)</f>
        <v>152704</v>
      </c>
      <c r="H34" s="34">
        <f>SUM(H22:H30)</f>
        <v>36</v>
      </c>
    </row>
    <row r="35" spans="1:10" ht="21.75" customHeight="1" thickBot="1">
      <c r="A35" s="30"/>
      <c r="B35" s="35"/>
      <c r="C35" s="28">
        <f>SUM(C34,C21)</f>
        <v>19122287</v>
      </c>
      <c r="D35" s="36">
        <f>SUM(D34,D21)</f>
        <v>84</v>
      </c>
      <c r="E35" s="31" t="s">
        <v>222</v>
      </c>
      <c r="F35" s="13"/>
      <c r="G35" s="28">
        <f>SUM(G34,G21)</f>
        <v>1734509</v>
      </c>
      <c r="H35" s="36">
        <f>SUM(H34,H21)</f>
        <v>88</v>
      </c>
      <c r="J35" s="75"/>
    </row>
    <row r="36" spans="1:8" ht="21.75" customHeight="1" thickTop="1">
      <c r="A36" s="30"/>
      <c r="B36" s="35"/>
      <c r="C36" s="30"/>
      <c r="D36" s="35"/>
      <c r="E36" s="42"/>
      <c r="F36" s="3"/>
      <c r="G36" s="30"/>
      <c r="H36" s="35"/>
    </row>
    <row r="37" spans="1:9" ht="21.75" customHeight="1">
      <c r="A37" s="293" t="s">
        <v>243</v>
      </c>
      <c r="B37" s="293"/>
      <c r="C37" s="293"/>
      <c r="D37" s="100"/>
      <c r="E37" s="60" t="s">
        <v>244</v>
      </c>
      <c r="F37" s="293" t="s">
        <v>244</v>
      </c>
      <c r="G37" s="293"/>
      <c r="H37" s="293"/>
      <c r="I37" s="293"/>
    </row>
    <row r="38" spans="7:8" ht="21.75" customHeight="1">
      <c r="G38" s="48"/>
      <c r="H38" s="25"/>
    </row>
    <row r="39" spans="1:9" ht="21.75" customHeight="1">
      <c r="A39" s="293" t="s">
        <v>241</v>
      </c>
      <c r="B39" s="293"/>
      <c r="C39" s="293"/>
      <c r="D39" s="293" t="s">
        <v>242</v>
      </c>
      <c r="E39" s="293"/>
      <c r="F39" s="293" t="s">
        <v>289</v>
      </c>
      <c r="G39" s="293"/>
      <c r="H39" s="293"/>
      <c r="I39" s="293"/>
    </row>
    <row r="40" spans="1:9" ht="21.75" customHeight="1">
      <c r="A40" s="293" t="s">
        <v>11</v>
      </c>
      <c r="B40" s="293"/>
      <c r="C40" s="293"/>
      <c r="D40" s="293" t="s">
        <v>12</v>
      </c>
      <c r="E40" s="293"/>
      <c r="F40" s="293" t="s">
        <v>290</v>
      </c>
      <c r="G40" s="293"/>
      <c r="H40" s="293"/>
      <c r="I40" s="293"/>
    </row>
    <row r="41" spans="1:9" ht="21.75" customHeight="1">
      <c r="A41" s="293"/>
      <c r="B41" s="293"/>
      <c r="C41" s="293"/>
      <c r="D41" s="293"/>
      <c r="E41" s="293"/>
      <c r="F41" s="101"/>
      <c r="G41" s="101"/>
      <c r="H41" s="101"/>
      <c r="I41" s="101"/>
    </row>
    <row r="42" spans="1:8" ht="21.75" customHeight="1">
      <c r="A42" s="60"/>
      <c r="B42" s="60"/>
      <c r="C42" s="60"/>
      <c r="D42" s="60"/>
      <c r="E42" s="60"/>
      <c r="F42" s="60"/>
      <c r="G42" s="60"/>
      <c r="H42" s="60"/>
    </row>
    <row r="43" spans="1:8" ht="21.75" customHeight="1" thickBot="1">
      <c r="A43" s="60"/>
      <c r="B43" s="60"/>
      <c r="C43" s="60"/>
      <c r="D43" s="60"/>
      <c r="E43" s="60"/>
      <c r="F43" s="60"/>
      <c r="G43" s="60"/>
      <c r="H43" s="60"/>
    </row>
    <row r="44" spans="1:8" ht="21.75" customHeight="1" thickTop="1">
      <c r="A44" s="357" t="s">
        <v>209</v>
      </c>
      <c r="B44" s="358"/>
      <c r="C44" s="358"/>
      <c r="D44" s="358"/>
      <c r="E44" s="359" t="s">
        <v>26</v>
      </c>
      <c r="F44" s="359" t="s">
        <v>27</v>
      </c>
      <c r="G44" s="357" t="s">
        <v>210</v>
      </c>
      <c r="H44" s="360"/>
    </row>
    <row r="45" spans="1:8" ht="21.75" customHeight="1">
      <c r="A45" s="296" t="s">
        <v>53</v>
      </c>
      <c r="B45" s="295"/>
      <c r="C45" s="296" t="s">
        <v>211</v>
      </c>
      <c r="D45" s="295"/>
      <c r="E45" s="353"/>
      <c r="F45" s="353"/>
      <c r="G45" s="296" t="s">
        <v>211</v>
      </c>
      <c r="H45" s="295"/>
    </row>
    <row r="46" spans="1:8" ht="21.75" customHeight="1">
      <c r="A46" s="355" t="s">
        <v>212</v>
      </c>
      <c r="B46" s="356"/>
      <c r="C46" s="355" t="s">
        <v>212</v>
      </c>
      <c r="D46" s="356"/>
      <c r="E46" s="354"/>
      <c r="F46" s="354"/>
      <c r="G46" s="355" t="s">
        <v>212</v>
      </c>
      <c r="H46" s="356"/>
    </row>
    <row r="47" spans="1:8" ht="21.75" customHeight="1">
      <c r="A47" s="7"/>
      <c r="B47" s="7"/>
      <c r="C47" s="7"/>
      <c r="D47" s="7"/>
      <c r="E47" s="37" t="s">
        <v>223</v>
      </c>
      <c r="F47" s="10"/>
      <c r="G47" s="11"/>
      <c r="H47" s="11"/>
    </row>
    <row r="48" spans="1:8" ht="21.75" customHeight="1">
      <c r="A48" s="12">
        <v>1665765</v>
      </c>
      <c r="B48" s="15"/>
      <c r="C48" s="23">
        <f>3958+138070+9556+31600+4039+4039+48159+8578+103500+36639+18111</f>
        <v>406249</v>
      </c>
      <c r="D48" s="15">
        <v>33</v>
      </c>
      <c r="E48" s="13" t="s">
        <v>224</v>
      </c>
      <c r="F48" s="22">
        <v>5000</v>
      </c>
      <c r="G48" s="23">
        <v>18111</v>
      </c>
      <c r="H48" s="9">
        <v>0</v>
      </c>
    </row>
    <row r="49" spans="1:8" ht="21.75" customHeight="1">
      <c r="A49" s="12">
        <f>2187120+580800+157680+150720</f>
        <v>3076320</v>
      </c>
      <c r="B49" s="15"/>
      <c r="C49" s="14">
        <f>227780+227780+227780+258440+240728+253730+255680+255680+267200+259360+273217+272530</f>
        <v>3019905</v>
      </c>
      <c r="D49" s="15">
        <v>0</v>
      </c>
      <c r="E49" s="13" t="s">
        <v>37</v>
      </c>
      <c r="F49" s="31">
        <v>100</v>
      </c>
      <c r="G49" s="23">
        <v>272530</v>
      </c>
      <c r="H49" s="9">
        <v>0</v>
      </c>
    </row>
    <row r="50" spans="1:8" ht="21.75" customHeight="1">
      <c r="A50" s="14">
        <f>87120+18000</f>
        <v>105120</v>
      </c>
      <c r="B50" s="15"/>
      <c r="C50" s="14">
        <f>8600+8600+8600+8600+8600+8600+8760+8760+8760+8760+8760+10980</f>
        <v>106380</v>
      </c>
      <c r="D50" s="15">
        <v>0</v>
      </c>
      <c r="E50" s="13" t="s">
        <v>38</v>
      </c>
      <c r="F50" s="22">
        <v>120</v>
      </c>
      <c r="G50" s="23">
        <v>10980</v>
      </c>
      <c r="H50" s="9">
        <v>0</v>
      </c>
    </row>
    <row r="51" spans="1:12" ht="21.75" customHeight="1">
      <c r="A51" s="14">
        <v>577800</v>
      </c>
      <c r="B51" s="15"/>
      <c r="C51" s="14">
        <f>39570+23550+31750+31750+31750+31750+31750+31750+31750+31750+31750+39490</f>
        <v>388360</v>
      </c>
      <c r="D51" s="15">
        <v>0</v>
      </c>
      <c r="E51" s="13" t="s">
        <v>39</v>
      </c>
      <c r="F51" s="22">
        <v>130</v>
      </c>
      <c r="G51" s="23">
        <v>39490</v>
      </c>
      <c r="H51" s="9">
        <v>0</v>
      </c>
      <c r="J51" s="6" t="s">
        <v>272</v>
      </c>
      <c r="K51" s="6" t="s">
        <v>273</v>
      </c>
      <c r="L51" s="6" t="s">
        <v>274</v>
      </c>
    </row>
    <row r="52" spans="1:14" ht="21.75" customHeight="1">
      <c r="A52" s="14">
        <f>345260+203020+108830+109250</f>
        <v>766360</v>
      </c>
      <c r="B52" s="15"/>
      <c r="C52" s="23">
        <f>3951+24565+8391+6598+4785+18238+1000+7400+18089+1000+12962+4969</f>
        <v>111948</v>
      </c>
      <c r="D52" s="15">
        <v>50</v>
      </c>
      <c r="E52" s="13" t="s">
        <v>40</v>
      </c>
      <c r="F52" s="22">
        <v>200</v>
      </c>
      <c r="G52" s="23">
        <v>4969</v>
      </c>
      <c r="H52" s="9">
        <v>0</v>
      </c>
      <c r="J52" s="75">
        <f>28000+10000+60000+12000+227190</f>
        <v>337190</v>
      </c>
      <c r="K52" s="75">
        <f>150000+35000+770000+60000</f>
        <v>1015000</v>
      </c>
      <c r="L52" s="75">
        <f>40000+30000+20000+30000+40000+10000+70000</f>
        <v>240000</v>
      </c>
      <c r="M52" s="59">
        <f>SUM(J52:L52)</f>
        <v>1592190</v>
      </c>
      <c r="N52" s="6" t="s">
        <v>275</v>
      </c>
    </row>
    <row r="53" spans="1:14" ht="21.75" customHeight="1">
      <c r="A53" s="14">
        <f>905000+105000+100000+688500</f>
        <v>1798500</v>
      </c>
      <c r="B53" s="15"/>
      <c r="C53" s="23">
        <f>6500+13880+48268+64260+64330+28246+68872+77870+104576+76720+246983</f>
        <v>800505</v>
      </c>
      <c r="D53" s="15">
        <v>0</v>
      </c>
      <c r="E53" s="13" t="s">
        <v>41</v>
      </c>
      <c r="F53" s="22">
        <v>250</v>
      </c>
      <c r="G53" s="23">
        <v>246983</v>
      </c>
      <c r="H53" s="9">
        <v>0</v>
      </c>
      <c r="J53" s="75">
        <f>5000+20000+5000+161790</f>
        <v>191790</v>
      </c>
      <c r="K53" s="75">
        <f>50000+20000+35000</f>
        <v>105000</v>
      </c>
      <c r="L53" s="75">
        <f>20000+20000</f>
        <v>40000</v>
      </c>
      <c r="M53" s="59">
        <f>SUM(J53:L53)</f>
        <v>336790</v>
      </c>
      <c r="N53" s="6" t="s">
        <v>276</v>
      </c>
    </row>
    <row r="54" spans="1:14" ht="21.75" customHeight="1">
      <c r="A54" s="14">
        <f>185000+40000+29000+959358</f>
        <v>1213358</v>
      </c>
      <c r="B54" s="15"/>
      <c r="C54" s="23">
        <f>1680+174223+70820+167670+23161+2400+148284+64685+117311+1+326466</f>
        <v>1096701</v>
      </c>
      <c r="D54" s="15">
        <f>60+75-100+45</f>
        <v>80</v>
      </c>
      <c r="E54" s="13" t="s">
        <v>42</v>
      </c>
      <c r="F54" s="22">
        <v>5270</v>
      </c>
      <c r="G54" s="23">
        <v>326466</v>
      </c>
      <c r="H54" s="9">
        <v>45</v>
      </c>
      <c r="J54" s="75">
        <f>5000+10000+66180</f>
        <v>81180</v>
      </c>
      <c r="K54" s="75">
        <f>40000+10000+366000+20000+450</f>
        <v>436450</v>
      </c>
      <c r="L54" s="75">
        <f>10000+50000+29200+10000+882293</f>
        <v>981493</v>
      </c>
      <c r="M54" s="59">
        <f>SUM(J54:L54)</f>
        <v>1499123</v>
      </c>
      <c r="N54" s="6" t="s">
        <v>277</v>
      </c>
    </row>
    <row r="55" spans="1:14" ht="21.75" customHeight="1">
      <c r="A55" s="14">
        <v>128612</v>
      </c>
      <c r="B55" s="15"/>
      <c r="C55" s="23">
        <f>10738+8139+14461+1+14677+4290+8034+1+20617+1+22771+11183</f>
        <v>114913</v>
      </c>
      <c r="D55" s="15">
        <f>14+56+54-100+48+15+80-100+42-100+57+28</f>
        <v>94</v>
      </c>
      <c r="E55" s="13" t="s">
        <v>43</v>
      </c>
      <c r="F55" s="22">
        <v>300</v>
      </c>
      <c r="G55" s="23">
        <v>11183</v>
      </c>
      <c r="H55" s="9">
        <v>28</v>
      </c>
      <c r="J55" s="75">
        <f>5000+15000+4500+12000+52680</f>
        <v>89180</v>
      </c>
      <c r="K55" s="75">
        <f>20000+35000+15000</f>
        <v>70000</v>
      </c>
      <c r="L55" s="75">
        <f>10000+3000+3000+3000+10000</f>
        <v>29000</v>
      </c>
      <c r="M55" s="59">
        <f>SUM(J55:L55)</f>
        <v>188180</v>
      </c>
      <c r="N55" s="6" t="s">
        <v>278</v>
      </c>
    </row>
    <row r="56" spans="1:13" ht="21.75" customHeight="1">
      <c r="A56" s="14">
        <v>1813200</v>
      </c>
      <c r="B56" s="15"/>
      <c r="C56" s="23">
        <f>546208+30000+60000+15000+585480+321558+10000</f>
        <v>1568246</v>
      </c>
      <c r="D56" s="15">
        <v>32</v>
      </c>
      <c r="E56" s="13" t="s">
        <v>220</v>
      </c>
      <c r="F56" s="22">
        <v>5400</v>
      </c>
      <c r="G56" s="23">
        <v>10000</v>
      </c>
      <c r="H56" s="9">
        <v>0</v>
      </c>
      <c r="J56" s="59">
        <f>SUM(J52:J55)</f>
        <v>699340</v>
      </c>
      <c r="K56" s="59">
        <f>SUM(K52:K55)</f>
        <v>1626450</v>
      </c>
      <c r="L56" s="59">
        <f>SUM(L52:L55)</f>
        <v>1290493</v>
      </c>
      <c r="M56" s="59">
        <f>SUM(M52:M55)</f>
        <v>3616283</v>
      </c>
    </row>
    <row r="57" spans="1:8" ht="21.75" customHeight="1">
      <c r="A57" s="23">
        <f>788000+32000+15500+8780</f>
        <v>844280</v>
      </c>
      <c r="B57" s="15"/>
      <c r="C57" s="23">
        <f>89500+14430+699000</f>
        <v>802930</v>
      </c>
      <c r="D57" s="15">
        <v>0</v>
      </c>
      <c r="E57" s="13" t="s">
        <v>45</v>
      </c>
      <c r="F57" s="22">
        <v>5450</v>
      </c>
      <c r="G57" s="23">
        <v>699000</v>
      </c>
      <c r="H57" s="9">
        <v>0</v>
      </c>
    </row>
    <row r="58" spans="1:11" ht="21.75" customHeight="1">
      <c r="A58" s="23">
        <f>465000+3004400+70000</f>
        <v>3539400</v>
      </c>
      <c r="B58" s="15"/>
      <c r="C58" s="23">
        <f>65000+244000+260000</f>
        <v>569000</v>
      </c>
      <c r="D58" s="15">
        <v>0</v>
      </c>
      <c r="E58" s="13" t="s">
        <v>46</v>
      </c>
      <c r="F58" s="22">
        <v>5500</v>
      </c>
      <c r="G58" s="23"/>
      <c r="H58" s="9"/>
      <c r="J58" s="6" t="s">
        <v>279</v>
      </c>
      <c r="K58" s="6" t="s">
        <v>236</v>
      </c>
    </row>
    <row r="59" spans="1:12" ht="21.75" customHeight="1">
      <c r="A59" s="23">
        <v>20000</v>
      </c>
      <c r="B59" s="15"/>
      <c r="C59" s="23">
        <v>20000</v>
      </c>
      <c r="D59" s="15">
        <v>0</v>
      </c>
      <c r="E59" s="13" t="s">
        <v>225</v>
      </c>
      <c r="F59" s="22">
        <v>550</v>
      </c>
      <c r="G59" s="23">
        <v>20000</v>
      </c>
      <c r="H59" s="9">
        <v>0</v>
      </c>
      <c r="J59" s="75">
        <f>82800+34500+61000</f>
        <v>178300</v>
      </c>
      <c r="K59" s="75">
        <f>293800</f>
        <v>293800</v>
      </c>
      <c r="L59" s="75">
        <f>SUM(J59:K59)</f>
        <v>472100</v>
      </c>
    </row>
    <row r="60" spans="1:12" ht="21.75" customHeight="1" thickBot="1">
      <c r="A60" s="39">
        <f>SUM(A48:A59)</f>
        <v>15548715</v>
      </c>
      <c r="B60" s="29">
        <f>SUM(B48:B59)</f>
        <v>0</v>
      </c>
      <c r="C60" s="28">
        <f>SUM(C48:C59)+2</f>
        <v>9005139</v>
      </c>
      <c r="D60" s="29">
        <f>SUM(D48:D59)-200</f>
        <v>89</v>
      </c>
      <c r="E60" s="13"/>
      <c r="F60" s="22"/>
      <c r="G60" s="28">
        <f>SUM(G48:G59)</f>
        <v>1659712</v>
      </c>
      <c r="H60" s="29">
        <f>SUM(H48:H59)</f>
        <v>73</v>
      </c>
      <c r="J60" s="75">
        <f>96000+5000</f>
        <v>101000</v>
      </c>
      <c r="K60" s="75">
        <f>2052000+1020000</f>
        <v>3072000</v>
      </c>
      <c r="L60" s="75">
        <f>SUM(J60:K60)</f>
        <v>3173000</v>
      </c>
    </row>
    <row r="61" spans="1:12" ht="21.75" customHeight="1" thickTop="1">
      <c r="A61" s="23"/>
      <c r="B61" s="9"/>
      <c r="C61" s="14"/>
      <c r="D61" s="9"/>
      <c r="E61" s="13" t="s">
        <v>49</v>
      </c>
      <c r="F61" s="22">
        <v>600</v>
      </c>
      <c r="G61" s="14"/>
      <c r="H61" s="9"/>
      <c r="J61" s="75">
        <v>8000</v>
      </c>
      <c r="K61" s="75"/>
      <c r="L61" s="75">
        <f>SUM(J61:K61)</f>
        <v>8000</v>
      </c>
    </row>
    <row r="62" spans="1:14" ht="21.75" customHeight="1">
      <c r="A62" s="14"/>
      <c r="B62" s="14"/>
      <c r="C62" s="14"/>
      <c r="D62" s="9"/>
      <c r="E62" s="13" t="s">
        <v>45</v>
      </c>
      <c r="F62" s="22">
        <v>7450</v>
      </c>
      <c r="G62" s="23"/>
      <c r="H62" s="9"/>
      <c r="J62" s="59">
        <f>SUM(J59:J61)</f>
        <v>287300</v>
      </c>
      <c r="K62" s="59">
        <f>SUM(K59:K61)</f>
        <v>3365800</v>
      </c>
      <c r="L62" s="59">
        <f>SUM(L59:L61)</f>
        <v>3653100</v>
      </c>
      <c r="N62" s="59">
        <f>3653100-L62</f>
        <v>0</v>
      </c>
    </row>
    <row r="63" spans="1:8" ht="21.75" customHeight="1">
      <c r="A63" s="14"/>
      <c r="B63" s="14"/>
      <c r="C63" s="14">
        <v>1987000</v>
      </c>
      <c r="D63" s="9">
        <v>0</v>
      </c>
      <c r="E63" s="13" t="s">
        <v>48</v>
      </c>
      <c r="F63" s="22">
        <v>700</v>
      </c>
      <c r="G63" s="23"/>
      <c r="H63" s="15"/>
    </row>
    <row r="64" spans="1:8" ht="21.75" customHeight="1">
      <c r="A64" s="14"/>
      <c r="B64" s="14"/>
      <c r="C64" s="14">
        <f>21977+101041+1+9463+167875+1+2099+1622+1+16736+28671+7614+1+73866+1+23587+1+28060</f>
        <v>482617</v>
      </c>
      <c r="D64" s="15">
        <f>99+86-100+23+7-100+39+70-100+50+10+98-100+44-100+89-100+31</f>
        <v>46</v>
      </c>
      <c r="E64" s="13" t="s">
        <v>50</v>
      </c>
      <c r="F64" s="22">
        <v>900</v>
      </c>
      <c r="G64" s="23">
        <v>28060</v>
      </c>
      <c r="H64" s="15">
        <v>31</v>
      </c>
    </row>
    <row r="65" spans="1:8" ht="21.75" customHeight="1">
      <c r="A65" s="14"/>
      <c r="B65" s="14"/>
      <c r="C65" s="14">
        <f>122580+134940+352600+446690+149070+119000+121850+15260+31200+5500+49280+44380</f>
        <v>1592350</v>
      </c>
      <c r="D65" s="9">
        <v>0</v>
      </c>
      <c r="E65" s="13" t="s">
        <v>34</v>
      </c>
      <c r="F65" s="22" t="s">
        <v>35</v>
      </c>
      <c r="G65" s="23">
        <v>44380</v>
      </c>
      <c r="H65" s="15">
        <v>0</v>
      </c>
    </row>
    <row r="66" spans="1:8" ht="21.75" customHeight="1">
      <c r="A66" s="14"/>
      <c r="B66" s="14"/>
      <c r="C66" s="14">
        <f>181500+197020+16020+16020+214520+309520+309520+16020+16020+16020+98520+16020</f>
        <v>1406720</v>
      </c>
      <c r="D66" s="15">
        <v>0</v>
      </c>
      <c r="E66" s="13" t="s">
        <v>36</v>
      </c>
      <c r="F66" s="22">
        <v>704</v>
      </c>
      <c r="G66" s="23">
        <v>16020</v>
      </c>
      <c r="H66" s="15">
        <v>0</v>
      </c>
    </row>
    <row r="67" spans="1:8" ht="21.75" customHeight="1">
      <c r="A67" s="14"/>
      <c r="B67" s="14"/>
      <c r="C67" s="14">
        <f>88943+436155+1475000+618000</f>
        <v>2618098</v>
      </c>
      <c r="D67" s="15">
        <v>20</v>
      </c>
      <c r="E67" s="13" t="s">
        <v>226</v>
      </c>
      <c r="F67" s="22">
        <v>600</v>
      </c>
      <c r="G67" s="23"/>
      <c r="H67" s="15"/>
    </row>
    <row r="68" spans="1:10" ht="21.75" customHeight="1">
      <c r="A68" s="14"/>
      <c r="B68" s="14"/>
      <c r="C68" s="14"/>
      <c r="D68" s="15"/>
      <c r="E68" s="13" t="s">
        <v>265</v>
      </c>
      <c r="F68" s="22"/>
      <c r="G68" s="23"/>
      <c r="H68" s="15"/>
      <c r="J68" s="75"/>
    </row>
    <row r="69" spans="1:10" ht="21.75" customHeight="1">
      <c r="A69" s="14"/>
      <c r="B69" s="14"/>
      <c r="C69" s="14">
        <f>739+739+739+1478+739+1573</f>
        <v>6007</v>
      </c>
      <c r="D69" s="15">
        <v>0</v>
      </c>
      <c r="E69" s="148" t="s">
        <v>296</v>
      </c>
      <c r="F69" s="22"/>
      <c r="G69" s="23">
        <v>1573</v>
      </c>
      <c r="H69" s="15">
        <v>0</v>
      </c>
      <c r="J69" s="75"/>
    </row>
    <row r="70" spans="1:11" ht="21.75" customHeight="1">
      <c r="A70" s="14"/>
      <c r="B70" s="14"/>
      <c r="C70" s="14">
        <f>208500+208000+207000+412000</f>
        <v>1035500</v>
      </c>
      <c r="D70" s="15">
        <v>0</v>
      </c>
      <c r="E70" s="148" t="s">
        <v>300</v>
      </c>
      <c r="F70" s="22"/>
      <c r="G70" s="23"/>
      <c r="H70" s="15"/>
      <c r="J70" s="59"/>
      <c r="K70" s="75">
        <f>2537413.69+278924.45+11653868.88+3862395.89-35290.9</f>
        <v>18297312.01</v>
      </c>
    </row>
    <row r="71" spans="1:10" ht="21.75" customHeight="1">
      <c r="A71" s="14"/>
      <c r="B71" s="14"/>
      <c r="C71" s="14">
        <f>84000+83500+82500+82500</f>
        <v>332500</v>
      </c>
      <c r="D71" s="15">
        <v>0</v>
      </c>
      <c r="E71" s="148" t="s">
        <v>301</v>
      </c>
      <c r="F71" s="22"/>
      <c r="G71" s="23"/>
      <c r="H71" s="15"/>
      <c r="J71" s="75"/>
    </row>
    <row r="72" spans="1:11" ht="21.75" customHeight="1">
      <c r="A72" s="14"/>
      <c r="B72" s="14"/>
      <c r="C72" s="14">
        <v>11395</v>
      </c>
      <c r="D72" s="9">
        <v>0</v>
      </c>
      <c r="E72" s="148" t="s">
        <v>321</v>
      </c>
      <c r="F72" s="22"/>
      <c r="G72" s="23">
        <v>11395</v>
      </c>
      <c r="H72" s="9">
        <v>0</v>
      </c>
      <c r="J72" s="75"/>
      <c r="K72" s="75">
        <f>1093971.23-84400-79660</f>
        <v>929911.23</v>
      </c>
    </row>
    <row r="73" spans="1:10" ht="21.75" customHeight="1">
      <c r="A73" s="33">
        <f>SUM(A62:A67)</f>
        <v>0</v>
      </c>
      <c r="B73" s="33">
        <f>SUM(B62:B67)</f>
        <v>0</v>
      </c>
      <c r="C73" s="33">
        <f>SUM(C61:C72)</f>
        <v>9472187</v>
      </c>
      <c r="D73" s="34">
        <f>SUM(D62:D72)</f>
        <v>66</v>
      </c>
      <c r="E73" s="41"/>
      <c r="F73" s="42"/>
      <c r="G73" s="33">
        <f>SUM(G61:G72)</f>
        <v>101428</v>
      </c>
      <c r="H73" s="34">
        <f>SUM(H62:H72)</f>
        <v>31</v>
      </c>
      <c r="J73" s="75">
        <f>19122287.84-18477327.55</f>
        <v>644960.2899999991</v>
      </c>
    </row>
    <row r="74" spans="1:10" ht="21.75" customHeight="1">
      <c r="A74" s="43">
        <f>SUM(A73,A60)</f>
        <v>15548715</v>
      </c>
      <c r="B74" s="33">
        <f>SUM(B73,B60)</f>
        <v>0</v>
      </c>
      <c r="C74" s="43">
        <f>SUM(C73,C60)+1</f>
        <v>18477327</v>
      </c>
      <c r="D74" s="34">
        <f>SUM(D73,D60)-100</f>
        <v>55</v>
      </c>
      <c r="E74" s="44" t="s">
        <v>227</v>
      </c>
      <c r="F74" s="42"/>
      <c r="G74" s="43">
        <f>SUM(G73,G60)+1</f>
        <v>1761141</v>
      </c>
      <c r="H74" s="34">
        <f>SUM(H73,H60)-100</f>
        <v>4</v>
      </c>
      <c r="J74" s="75">
        <f>1761141.04-1734509.88</f>
        <v>26631.16000000015</v>
      </c>
    </row>
    <row r="75" spans="1:10" ht="21.75" customHeight="1">
      <c r="A75" s="30"/>
      <c r="B75" s="30"/>
      <c r="C75" s="120">
        <v>644960</v>
      </c>
      <c r="D75" s="45">
        <v>29</v>
      </c>
      <c r="E75" s="3" t="s">
        <v>228</v>
      </c>
      <c r="F75" s="42"/>
      <c r="G75" s="8"/>
      <c r="H75" s="98"/>
      <c r="J75" s="75"/>
    </row>
    <row r="76" spans="1:10" ht="21.75" customHeight="1">
      <c r="A76" s="30"/>
      <c r="B76" s="30"/>
      <c r="C76" s="8"/>
      <c r="D76" s="9"/>
      <c r="E76" s="3" t="s">
        <v>229</v>
      </c>
      <c r="F76" s="42"/>
      <c r="G76" s="46"/>
      <c r="H76" s="47"/>
      <c r="J76" s="75">
        <f>14640576-G78</f>
        <v>-400</v>
      </c>
    </row>
    <row r="77" spans="1:10" ht="21.75" customHeight="1">
      <c r="A77" s="30"/>
      <c r="B77" s="40"/>
      <c r="C77" s="113"/>
      <c r="D77" s="97"/>
      <c r="E77" s="3" t="s">
        <v>230</v>
      </c>
      <c r="F77" s="3"/>
      <c r="G77" s="8" t="s">
        <v>322</v>
      </c>
      <c r="H77" s="98" t="s">
        <v>323</v>
      </c>
      <c r="J77" s="75"/>
    </row>
    <row r="78" spans="3:10" ht="21.75" customHeight="1" thickBot="1">
      <c r="C78" s="39">
        <f>C9+C35-C74</f>
        <v>14640976</v>
      </c>
      <c r="D78" s="29">
        <f>D9+D35-D74</f>
        <v>53</v>
      </c>
      <c r="E78" s="6" t="s">
        <v>231</v>
      </c>
      <c r="G78" s="39">
        <f>G10+G35-G74+1</f>
        <v>14640976</v>
      </c>
      <c r="H78" s="29">
        <f>H10+H35-H74-100</f>
        <v>53</v>
      </c>
      <c r="J78" s="75"/>
    </row>
    <row r="79" spans="3:10" ht="21.75" customHeight="1" thickTop="1">
      <c r="C79" s="32"/>
      <c r="D79" s="100"/>
      <c r="G79" s="32"/>
      <c r="H79" s="100"/>
      <c r="J79" s="75"/>
    </row>
    <row r="80" spans="3:10" ht="21.75" customHeight="1">
      <c r="C80" s="32"/>
      <c r="D80" s="100"/>
      <c r="G80" s="32"/>
      <c r="H80" s="100"/>
      <c r="J80" s="75"/>
    </row>
    <row r="81" spans="1:10" ht="21.75" customHeight="1">
      <c r="A81" s="293" t="s">
        <v>243</v>
      </c>
      <c r="B81" s="293"/>
      <c r="C81" s="293"/>
      <c r="D81" s="100"/>
      <c r="E81" s="60" t="s">
        <v>244</v>
      </c>
      <c r="F81" s="293" t="s">
        <v>244</v>
      </c>
      <c r="G81" s="293"/>
      <c r="H81" s="293"/>
      <c r="I81" s="293"/>
      <c r="J81" s="75"/>
    </row>
    <row r="82" spans="7:10" ht="21.75" customHeight="1">
      <c r="G82" s="48"/>
      <c r="H82" s="25"/>
      <c r="J82" s="75"/>
    </row>
    <row r="83" spans="1:9" ht="21.75" customHeight="1">
      <c r="A83" s="293" t="s">
        <v>241</v>
      </c>
      <c r="B83" s="293"/>
      <c r="C83" s="293"/>
      <c r="D83" s="293" t="s">
        <v>242</v>
      </c>
      <c r="E83" s="293"/>
      <c r="F83" s="293" t="s">
        <v>289</v>
      </c>
      <c r="G83" s="293"/>
      <c r="H83" s="293"/>
      <c r="I83" s="293"/>
    </row>
    <row r="84" spans="1:9" ht="21.75" customHeight="1">
      <c r="A84" s="293" t="s">
        <v>11</v>
      </c>
      <c r="B84" s="293"/>
      <c r="C84" s="293"/>
      <c r="D84" s="293" t="s">
        <v>12</v>
      </c>
      <c r="E84" s="293"/>
      <c r="F84" s="293" t="s">
        <v>290</v>
      </c>
      <c r="G84" s="293"/>
      <c r="H84" s="293"/>
      <c r="I84" s="293"/>
    </row>
    <row r="85" spans="1:9" ht="21.75" customHeight="1">
      <c r="A85" s="293"/>
      <c r="B85" s="293"/>
      <c r="C85" s="293"/>
      <c r="D85" s="293"/>
      <c r="E85" s="293"/>
      <c r="F85" s="101"/>
      <c r="G85" s="101"/>
      <c r="H85" s="101"/>
      <c r="I85" s="101"/>
    </row>
    <row r="86" spans="7:8" ht="21.75" customHeight="1">
      <c r="G86" s="48"/>
      <c r="H86" s="27"/>
    </row>
    <row r="87" spans="7:8" ht="21.75" customHeight="1">
      <c r="G87" s="24"/>
      <c r="H87" s="26"/>
    </row>
    <row r="88" spans="5:8" ht="21.75" customHeight="1">
      <c r="E88" s="38"/>
      <c r="G88" s="24"/>
      <c r="H88" s="26"/>
    </row>
  </sheetData>
  <sheetProtection/>
  <mergeCells count="44">
    <mergeCell ref="F83:I83"/>
    <mergeCell ref="F84:I84"/>
    <mergeCell ref="A83:C83"/>
    <mergeCell ref="D83:E83"/>
    <mergeCell ref="A84:C84"/>
    <mergeCell ref="D84:E84"/>
    <mergeCell ref="A46:B46"/>
    <mergeCell ref="C46:D46"/>
    <mergeCell ref="A85:C85"/>
    <mergeCell ref="D85:E85"/>
    <mergeCell ref="F81:I81"/>
    <mergeCell ref="A81:C81"/>
    <mergeCell ref="G46:H46"/>
    <mergeCell ref="A40:C40"/>
    <mergeCell ref="D40:E40"/>
    <mergeCell ref="A41:C41"/>
    <mergeCell ref="D41:E41"/>
    <mergeCell ref="G44:H44"/>
    <mergeCell ref="A45:B45"/>
    <mergeCell ref="C45:D45"/>
    <mergeCell ref="G45:H45"/>
    <mergeCell ref="F40:I40"/>
    <mergeCell ref="A37:C37"/>
    <mergeCell ref="A39:C39"/>
    <mergeCell ref="D39:E39"/>
    <mergeCell ref="F39:I39"/>
    <mergeCell ref="F37:I37"/>
    <mergeCell ref="A44:D44"/>
    <mergeCell ref="E44:E46"/>
    <mergeCell ref="F44:F46"/>
    <mergeCell ref="A6:D6"/>
    <mergeCell ref="E6:E8"/>
    <mergeCell ref="F6:F8"/>
    <mergeCell ref="G6:H6"/>
    <mergeCell ref="A7:B7"/>
    <mergeCell ref="C7:D7"/>
    <mergeCell ref="G7:H7"/>
    <mergeCell ref="A8:B8"/>
    <mergeCell ref="C8:D8"/>
    <mergeCell ref="G8:H8"/>
    <mergeCell ref="A1:H1"/>
    <mergeCell ref="A2:H2"/>
    <mergeCell ref="A4:H4"/>
    <mergeCell ref="F5:H5"/>
  </mergeCells>
  <printOptions/>
  <pageMargins left="0" right="0" top="0.1968503937007874" bottom="0.1968503937007874" header="0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5"/>
  <sheetViews>
    <sheetView view="pageBreakPreview" zoomScaleNormal="85" zoomScaleSheetLayoutView="100" workbookViewId="0" topLeftCell="A109">
      <selection activeCell="E97" sqref="E97"/>
    </sheetView>
  </sheetViews>
  <sheetFormatPr defaultColWidth="9.140625" defaultRowHeight="21.75" customHeight="1"/>
  <cols>
    <col min="1" max="4" width="9.140625" style="49" customWidth="1"/>
    <col min="5" max="5" width="19.140625" style="49" customWidth="1"/>
    <col min="6" max="6" width="12.7109375" style="49" customWidth="1"/>
    <col min="7" max="7" width="15.140625" style="49" customWidth="1"/>
    <col min="8" max="8" width="14.8515625" style="49" customWidth="1"/>
    <col min="9" max="9" width="6.7109375" style="49" hidden="1" customWidth="1"/>
    <col min="10" max="11" width="9.140625" style="49" hidden="1" customWidth="1"/>
    <col min="12" max="12" width="10.28125" style="49" bestFit="1" customWidth="1"/>
    <col min="13" max="16384" width="9.140625" style="49" customWidth="1"/>
  </cols>
  <sheetData>
    <row r="1" spans="1:11" ht="21.75" customHeight="1">
      <c r="A1" s="321" t="s">
        <v>245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21.75" customHeight="1">
      <c r="A2" s="321" t="s">
        <v>52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21.75" customHeight="1">
      <c r="A3" s="321" t="s">
        <v>307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21.75" customHeight="1">
      <c r="A4" s="91"/>
      <c r="B4" s="92"/>
      <c r="C4" s="92"/>
      <c r="D4" s="92"/>
      <c r="E4" s="92"/>
      <c r="F4" s="361" t="s">
        <v>27</v>
      </c>
      <c r="G4" s="361" t="s">
        <v>53</v>
      </c>
      <c r="H4" s="361" t="s">
        <v>54</v>
      </c>
      <c r="I4" s="130"/>
      <c r="J4" s="130"/>
      <c r="K4" s="130"/>
    </row>
    <row r="5" spans="1:11" ht="21.75" customHeight="1">
      <c r="A5" s="84"/>
      <c r="B5" s="85"/>
      <c r="C5" s="85"/>
      <c r="D5" s="85"/>
      <c r="E5" s="85"/>
      <c r="F5" s="362"/>
      <c r="G5" s="362"/>
      <c r="H5" s="362"/>
      <c r="I5" s="131"/>
      <c r="J5" s="131"/>
      <c r="K5" s="131"/>
    </row>
    <row r="6" spans="1:11" ht="21.75" customHeight="1">
      <c r="A6" s="111" t="s">
        <v>55</v>
      </c>
      <c r="B6" s="142"/>
      <c r="C6" s="92"/>
      <c r="D6" s="92"/>
      <c r="E6" s="92"/>
      <c r="F6" s="105"/>
      <c r="G6" s="94"/>
      <c r="H6" s="94"/>
      <c r="I6" s="133"/>
      <c r="J6" s="132"/>
      <c r="K6" s="132"/>
    </row>
    <row r="7" spans="1:11" ht="21.75" customHeight="1">
      <c r="A7" s="112" t="s">
        <v>56</v>
      </c>
      <c r="B7" s="117"/>
      <c r="C7" s="81"/>
      <c r="D7" s="81"/>
      <c r="E7" s="81"/>
      <c r="F7" s="134" t="s">
        <v>57</v>
      </c>
      <c r="G7" s="83"/>
      <c r="H7" s="83"/>
      <c r="I7" s="133"/>
      <c r="J7" s="132"/>
      <c r="K7" s="132"/>
    </row>
    <row r="8" spans="1:11" ht="21.75" customHeight="1">
      <c r="A8" s="80" t="s">
        <v>58</v>
      </c>
      <c r="B8" s="81"/>
      <c r="C8" s="81"/>
      <c r="D8" s="81"/>
      <c r="E8" s="81"/>
      <c r="F8" s="134" t="s">
        <v>59</v>
      </c>
      <c r="G8" s="83">
        <v>21000</v>
      </c>
      <c r="H8" s="83">
        <f>3818+10455+5802+849+670+355.11</f>
        <v>21949.11</v>
      </c>
      <c r="I8" s="133"/>
      <c r="J8" s="132"/>
      <c r="K8" s="132"/>
    </row>
    <row r="9" spans="1:11" ht="21.75" customHeight="1">
      <c r="A9" s="80" t="s">
        <v>60</v>
      </c>
      <c r="B9" s="81"/>
      <c r="C9" s="81"/>
      <c r="D9" s="81"/>
      <c r="E9" s="81"/>
      <c r="F9" s="134" t="s">
        <v>61</v>
      </c>
      <c r="G9" s="83">
        <v>35000</v>
      </c>
      <c r="H9" s="83">
        <f>241.19+11722.19+10282.17+5828.61+4926.15+1678.54+391.6+668.39+823.25</f>
        <v>36562.090000000004</v>
      </c>
      <c r="I9" s="133"/>
      <c r="J9" s="132"/>
      <c r="K9" s="132"/>
    </row>
    <row r="10" spans="1:11" ht="21.75" customHeight="1">
      <c r="A10" s="80" t="s">
        <v>62</v>
      </c>
      <c r="B10" s="81"/>
      <c r="C10" s="81"/>
      <c r="D10" s="81"/>
      <c r="E10" s="81"/>
      <c r="F10" s="134" t="s">
        <v>63</v>
      </c>
      <c r="G10" s="83">
        <v>1700</v>
      </c>
      <c r="H10" s="83">
        <f>514+1200+200</f>
        <v>1914</v>
      </c>
      <c r="I10" s="133"/>
      <c r="J10" s="132"/>
      <c r="K10" s="132"/>
    </row>
    <row r="11" spans="1:11" ht="21.75" customHeight="1">
      <c r="A11" s="80" t="s">
        <v>64</v>
      </c>
      <c r="B11" s="81"/>
      <c r="C11" s="81"/>
      <c r="D11" s="81"/>
      <c r="E11" s="81"/>
      <c r="F11" s="134" t="s">
        <v>65</v>
      </c>
      <c r="G11" s="83">
        <v>420</v>
      </c>
      <c r="H11" s="83">
        <f>100+30+20+70+50+100+50+80</f>
        <v>500</v>
      </c>
      <c r="I11" s="133"/>
      <c r="J11" s="132"/>
      <c r="K11" s="132"/>
    </row>
    <row r="12" spans="1:11" ht="21.75" customHeight="1">
      <c r="A12" s="80" t="s">
        <v>66</v>
      </c>
      <c r="B12" s="81"/>
      <c r="C12" s="81"/>
      <c r="D12" s="81"/>
      <c r="E12" s="81"/>
      <c r="F12" s="134" t="s">
        <v>67</v>
      </c>
      <c r="G12" s="83"/>
      <c r="H12" s="83"/>
      <c r="I12" s="133"/>
      <c r="J12" s="132"/>
      <c r="K12" s="132"/>
    </row>
    <row r="13" spans="1:11" ht="21.75" customHeight="1">
      <c r="A13" s="80" t="s">
        <v>68</v>
      </c>
      <c r="B13" s="81"/>
      <c r="C13" s="81"/>
      <c r="D13" s="81"/>
      <c r="E13" s="81"/>
      <c r="F13" s="134" t="s">
        <v>69</v>
      </c>
      <c r="G13" s="83"/>
      <c r="H13" s="83"/>
      <c r="I13" s="133"/>
      <c r="J13" s="132"/>
      <c r="K13" s="132"/>
    </row>
    <row r="14" spans="1:11" ht="21.75" customHeight="1">
      <c r="A14" s="80"/>
      <c r="B14" s="81"/>
      <c r="C14" s="81"/>
      <c r="D14" s="81" t="s">
        <v>70</v>
      </c>
      <c r="E14" s="81"/>
      <c r="F14" s="132"/>
      <c r="G14" s="90">
        <f>SUM(G7:G13)</f>
        <v>58120</v>
      </c>
      <c r="H14" s="90">
        <f>SUM(H7:H13)</f>
        <v>60925.200000000004</v>
      </c>
      <c r="I14" s="135"/>
      <c r="J14" s="114"/>
      <c r="K14" s="114"/>
    </row>
    <row r="15" spans="1:11" ht="21.75" customHeight="1">
      <c r="A15" s="80" t="s">
        <v>71</v>
      </c>
      <c r="B15" s="81"/>
      <c r="C15" s="81"/>
      <c r="D15" s="81"/>
      <c r="E15" s="81"/>
      <c r="F15" s="134" t="s">
        <v>72</v>
      </c>
      <c r="G15" s="83"/>
      <c r="H15" s="83"/>
      <c r="I15" s="133"/>
      <c r="J15" s="132"/>
      <c r="K15" s="132"/>
    </row>
    <row r="16" spans="1:13" ht="21.75" customHeight="1">
      <c r="A16" s="80" t="s">
        <v>73</v>
      </c>
      <c r="B16" s="81"/>
      <c r="C16" s="81"/>
      <c r="D16" s="81"/>
      <c r="E16" s="81"/>
      <c r="F16" s="134" t="s">
        <v>74</v>
      </c>
      <c r="G16" s="83">
        <v>760</v>
      </c>
      <c r="H16" s="83">
        <f>180+54+36+126+90+180+90+144</f>
        <v>900</v>
      </c>
      <c r="I16" s="133"/>
      <c r="J16" s="132"/>
      <c r="K16" s="132"/>
      <c r="M16" s="95" t="s">
        <v>240</v>
      </c>
    </row>
    <row r="17" spans="1:11" ht="21.75" customHeight="1">
      <c r="A17" s="80" t="s">
        <v>75</v>
      </c>
      <c r="B17" s="81"/>
      <c r="C17" s="81"/>
      <c r="D17" s="81"/>
      <c r="E17" s="81"/>
      <c r="F17" s="134" t="s">
        <v>76</v>
      </c>
      <c r="G17" s="83"/>
      <c r="H17" s="83"/>
      <c r="I17" s="133"/>
      <c r="J17" s="132"/>
      <c r="K17" s="132"/>
    </row>
    <row r="18" spans="1:11" ht="21.75" customHeight="1">
      <c r="A18" s="80" t="s">
        <v>77</v>
      </c>
      <c r="B18" s="81"/>
      <c r="C18" s="81"/>
      <c r="D18" s="81"/>
      <c r="E18" s="81"/>
      <c r="F18" s="134" t="s">
        <v>78</v>
      </c>
      <c r="G18" s="83"/>
      <c r="H18" s="83"/>
      <c r="I18" s="133"/>
      <c r="J18" s="132"/>
      <c r="K18" s="132"/>
    </row>
    <row r="19" spans="1:11" ht="21.75" customHeight="1">
      <c r="A19" s="80" t="s">
        <v>79</v>
      </c>
      <c r="B19" s="81"/>
      <c r="C19" s="81"/>
      <c r="D19" s="81"/>
      <c r="E19" s="81"/>
      <c r="F19" s="134" t="s">
        <v>80</v>
      </c>
      <c r="G19" s="83"/>
      <c r="H19" s="83"/>
      <c r="I19" s="133"/>
      <c r="J19" s="132"/>
      <c r="K19" s="132"/>
    </row>
    <row r="20" spans="1:11" ht="21.75" customHeight="1">
      <c r="A20" s="80" t="s">
        <v>81</v>
      </c>
      <c r="B20" s="81"/>
      <c r="C20" s="81"/>
      <c r="D20" s="81"/>
      <c r="E20" s="81"/>
      <c r="F20" s="134" t="s">
        <v>82</v>
      </c>
      <c r="G20" s="83">
        <v>300</v>
      </c>
      <c r="H20" s="83">
        <f>41+18+70+33+177+36+18+196</f>
        <v>589</v>
      </c>
      <c r="I20" s="133"/>
      <c r="J20" s="132"/>
      <c r="K20" s="132"/>
    </row>
    <row r="21" spans="1:11" ht="21.75" customHeight="1">
      <c r="A21" s="80" t="s">
        <v>83</v>
      </c>
      <c r="B21" s="81"/>
      <c r="C21" s="81"/>
      <c r="D21" s="81"/>
      <c r="E21" s="81"/>
      <c r="F21" s="134" t="s">
        <v>84</v>
      </c>
      <c r="G21" s="83"/>
      <c r="H21" s="83"/>
      <c r="I21" s="133"/>
      <c r="J21" s="132"/>
      <c r="K21" s="132"/>
    </row>
    <row r="22" spans="1:11" ht="21.75" customHeight="1">
      <c r="A22" s="80" t="s">
        <v>85</v>
      </c>
      <c r="B22" s="81"/>
      <c r="C22" s="81"/>
      <c r="D22" s="81"/>
      <c r="E22" s="81"/>
      <c r="F22" s="134" t="s">
        <v>86</v>
      </c>
      <c r="G22" s="83"/>
      <c r="H22" s="83"/>
      <c r="I22" s="133"/>
      <c r="J22" s="132"/>
      <c r="K22" s="132"/>
    </row>
    <row r="23" spans="1:11" ht="21.75" customHeight="1">
      <c r="A23" s="80" t="s">
        <v>87</v>
      </c>
      <c r="B23" s="81"/>
      <c r="C23" s="81"/>
      <c r="D23" s="81"/>
      <c r="E23" s="81"/>
      <c r="F23" s="134" t="s">
        <v>88</v>
      </c>
      <c r="G23" s="83"/>
      <c r="H23" s="83"/>
      <c r="I23" s="133"/>
      <c r="J23" s="132"/>
      <c r="K23" s="132"/>
    </row>
    <row r="24" spans="1:11" ht="21.75" customHeight="1">
      <c r="A24" s="80" t="s">
        <v>89</v>
      </c>
      <c r="B24" s="81"/>
      <c r="C24" s="81"/>
      <c r="D24" s="81"/>
      <c r="E24" s="81"/>
      <c r="F24" s="132"/>
      <c r="G24" s="83"/>
      <c r="H24" s="83"/>
      <c r="I24" s="133"/>
      <c r="J24" s="132"/>
      <c r="K24" s="132"/>
    </row>
    <row r="25" spans="1:11" ht="21.75" customHeight="1">
      <c r="A25" s="80" t="s">
        <v>90</v>
      </c>
      <c r="B25" s="81"/>
      <c r="C25" s="81"/>
      <c r="D25" s="81"/>
      <c r="E25" s="81"/>
      <c r="F25" s="134"/>
      <c r="G25" s="83"/>
      <c r="H25" s="83"/>
      <c r="I25" s="133"/>
      <c r="J25" s="132"/>
      <c r="K25" s="132"/>
    </row>
    <row r="26" spans="1:11" ht="21.75" customHeight="1">
      <c r="A26" s="80" t="s">
        <v>91</v>
      </c>
      <c r="B26" s="81"/>
      <c r="C26" s="81"/>
      <c r="D26" s="81"/>
      <c r="E26" s="81"/>
      <c r="F26" s="134" t="s">
        <v>92</v>
      </c>
      <c r="G26" s="83"/>
      <c r="H26" s="83"/>
      <c r="I26" s="133"/>
      <c r="J26" s="132"/>
      <c r="K26" s="132"/>
    </row>
    <row r="27" spans="1:11" ht="21.75" customHeight="1">
      <c r="A27" s="80" t="s">
        <v>93</v>
      </c>
      <c r="B27" s="81"/>
      <c r="C27" s="81"/>
      <c r="D27" s="81"/>
      <c r="E27" s="81"/>
      <c r="F27" s="134" t="s">
        <v>94</v>
      </c>
      <c r="G27" s="83"/>
      <c r="H27" s="83"/>
      <c r="I27" s="133"/>
      <c r="J27" s="132"/>
      <c r="K27" s="132"/>
    </row>
    <row r="28" spans="1:11" ht="21.75" customHeight="1">
      <c r="A28" s="80" t="s">
        <v>95</v>
      </c>
      <c r="B28" s="81"/>
      <c r="C28" s="81"/>
      <c r="D28" s="81"/>
      <c r="E28" s="81"/>
      <c r="F28" s="132"/>
      <c r="G28" s="83"/>
      <c r="H28" s="83"/>
      <c r="I28" s="133"/>
      <c r="J28" s="132"/>
      <c r="K28" s="132"/>
    </row>
    <row r="29" spans="1:11" ht="21.75" customHeight="1">
      <c r="A29" s="80" t="s">
        <v>96</v>
      </c>
      <c r="B29" s="81"/>
      <c r="C29" s="81"/>
      <c r="D29" s="81"/>
      <c r="E29" s="81"/>
      <c r="F29" s="134"/>
      <c r="G29" s="83"/>
      <c r="H29" s="83"/>
      <c r="I29" s="133"/>
      <c r="J29" s="132"/>
      <c r="K29" s="132"/>
    </row>
    <row r="30" spans="1:11" ht="21.75" customHeight="1">
      <c r="A30" s="80" t="s">
        <v>97</v>
      </c>
      <c r="B30" s="81"/>
      <c r="C30" s="81"/>
      <c r="D30" s="81"/>
      <c r="E30" s="81"/>
      <c r="F30" s="134"/>
      <c r="G30" s="83"/>
      <c r="H30" s="83"/>
      <c r="I30" s="133"/>
      <c r="J30" s="132"/>
      <c r="K30" s="132"/>
    </row>
    <row r="31" spans="1:11" ht="21.75" customHeight="1">
      <c r="A31" s="80" t="s">
        <v>98</v>
      </c>
      <c r="B31" s="81"/>
      <c r="C31" s="81"/>
      <c r="D31" s="81"/>
      <c r="E31" s="81"/>
      <c r="F31" s="134" t="s">
        <v>99</v>
      </c>
      <c r="G31" s="83"/>
      <c r="H31" s="83"/>
      <c r="I31" s="133"/>
      <c r="J31" s="132"/>
      <c r="K31" s="132"/>
    </row>
    <row r="32" spans="1:11" ht="21.75" customHeight="1">
      <c r="A32" s="80" t="s">
        <v>100</v>
      </c>
      <c r="B32" s="81"/>
      <c r="C32" s="81"/>
      <c r="D32" s="81"/>
      <c r="E32" s="81"/>
      <c r="F32" s="134" t="s">
        <v>101</v>
      </c>
      <c r="G32" s="83"/>
      <c r="H32" s="83"/>
      <c r="I32" s="133"/>
      <c r="J32" s="132"/>
      <c r="K32" s="132"/>
    </row>
    <row r="33" spans="1:11" ht="21.75" customHeight="1">
      <c r="A33" s="80" t="s">
        <v>102</v>
      </c>
      <c r="B33" s="81"/>
      <c r="C33" s="81"/>
      <c r="D33" s="81"/>
      <c r="E33" s="81"/>
      <c r="F33" s="134" t="s">
        <v>103</v>
      </c>
      <c r="G33" s="83"/>
      <c r="H33" s="83"/>
      <c r="I33" s="133"/>
      <c r="J33" s="132"/>
      <c r="K33" s="132"/>
    </row>
    <row r="34" spans="1:11" ht="21.75" customHeight="1">
      <c r="A34" s="80" t="s">
        <v>104</v>
      </c>
      <c r="B34" s="81"/>
      <c r="C34" s="81"/>
      <c r="D34" s="81"/>
      <c r="E34" s="81"/>
      <c r="F34" s="136"/>
      <c r="G34" s="83"/>
      <c r="H34" s="83"/>
      <c r="I34" s="133"/>
      <c r="J34" s="132"/>
      <c r="K34" s="132"/>
    </row>
    <row r="35" spans="1:11" ht="21.75" customHeight="1">
      <c r="A35" s="80" t="s">
        <v>105</v>
      </c>
      <c r="B35" s="81"/>
      <c r="C35" s="81"/>
      <c r="D35" s="81"/>
      <c r="E35" s="81"/>
      <c r="F35" s="134" t="s">
        <v>106</v>
      </c>
      <c r="G35" s="83"/>
      <c r="H35" s="83"/>
      <c r="I35" s="133"/>
      <c r="J35" s="132"/>
      <c r="K35" s="132"/>
    </row>
    <row r="36" spans="1:11" ht="21.75" customHeight="1">
      <c r="A36" s="80" t="s">
        <v>107</v>
      </c>
      <c r="B36" s="81"/>
      <c r="C36" s="81"/>
      <c r="D36" s="81"/>
      <c r="E36" s="81"/>
      <c r="F36" s="134" t="s">
        <v>108</v>
      </c>
      <c r="G36" s="83"/>
      <c r="H36" s="83"/>
      <c r="I36" s="133"/>
      <c r="J36" s="132"/>
      <c r="K36" s="132"/>
    </row>
    <row r="37" spans="1:11" ht="21.75" customHeight="1">
      <c r="A37" s="80" t="s">
        <v>109</v>
      </c>
      <c r="B37" s="81"/>
      <c r="C37" s="81"/>
      <c r="D37" s="81"/>
      <c r="E37" s="81"/>
      <c r="F37" s="134" t="s">
        <v>110</v>
      </c>
      <c r="G37" s="83">
        <v>1000</v>
      </c>
      <c r="H37" s="83"/>
      <c r="I37" s="133"/>
      <c r="J37" s="132"/>
      <c r="K37" s="132"/>
    </row>
    <row r="38" spans="1:11" ht="21.75" customHeight="1">
      <c r="A38" s="80" t="s">
        <v>111</v>
      </c>
      <c r="B38" s="81"/>
      <c r="C38" s="81"/>
      <c r="D38" s="81"/>
      <c r="E38" s="81"/>
      <c r="F38" s="134" t="s">
        <v>112</v>
      </c>
      <c r="G38" s="83"/>
      <c r="H38" s="83"/>
      <c r="I38" s="133"/>
      <c r="J38" s="132"/>
      <c r="K38" s="132"/>
    </row>
    <row r="39" spans="1:11" ht="21.75" customHeight="1">
      <c r="A39" s="80" t="s">
        <v>113</v>
      </c>
      <c r="B39" s="81"/>
      <c r="C39" s="81"/>
      <c r="D39" s="81"/>
      <c r="E39" s="81"/>
      <c r="F39" s="134" t="s">
        <v>114</v>
      </c>
      <c r="G39" s="83"/>
      <c r="H39" s="83"/>
      <c r="I39" s="133"/>
      <c r="J39" s="132"/>
      <c r="K39" s="132"/>
    </row>
    <row r="40" spans="1:11" ht="21.75" customHeight="1">
      <c r="A40" s="84" t="s">
        <v>115</v>
      </c>
      <c r="B40" s="85"/>
      <c r="C40" s="85"/>
      <c r="D40" s="85"/>
      <c r="E40" s="85"/>
      <c r="F40" s="109" t="s">
        <v>116</v>
      </c>
      <c r="G40" s="116">
        <v>20000</v>
      </c>
      <c r="H40" s="110">
        <v>4680</v>
      </c>
      <c r="I40" s="133"/>
      <c r="J40" s="132"/>
      <c r="K40" s="132"/>
    </row>
    <row r="41" spans="1:11" ht="21.75" customHeight="1">
      <c r="A41" s="92"/>
      <c r="B41" s="92"/>
      <c r="C41" s="92"/>
      <c r="D41" s="92"/>
      <c r="E41" s="92"/>
      <c r="F41" s="145"/>
      <c r="G41" s="118"/>
      <c r="H41" s="118"/>
      <c r="I41" s="143"/>
      <c r="J41" s="132"/>
      <c r="K41" s="132"/>
    </row>
    <row r="42" spans="1:11" ht="21.75" customHeight="1">
      <c r="A42" s="91"/>
      <c r="B42" s="92"/>
      <c r="C42" s="92"/>
      <c r="D42" s="92"/>
      <c r="E42" s="92"/>
      <c r="F42" s="137" t="s">
        <v>27</v>
      </c>
      <c r="G42" s="137" t="s">
        <v>53</v>
      </c>
      <c r="H42" s="137" t="s">
        <v>54</v>
      </c>
      <c r="I42" s="105"/>
      <c r="J42" s="105"/>
      <c r="K42" s="105"/>
    </row>
    <row r="43" spans="1:11" ht="21.75" customHeight="1">
      <c r="A43" s="84"/>
      <c r="B43" s="85"/>
      <c r="C43" s="85"/>
      <c r="D43" s="85"/>
      <c r="E43" s="85"/>
      <c r="F43" s="138"/>
      <c r="G43" s="138"/>
      <c r="H43" s="138"/>
      <c r="I43" s="132"/>
      <c r="J43" s="132"/>
      <c r="K43" s="132"/>
    </row>
    <row r="44" spans="1:11" ht="21.75" customHeight="1">
      <c r="A44" s="91" t="s">
        <v>117</v>
      </c>
      <c r="B44" s="92"/>
      <c r="C44" s="92"/>
      <c r="D44" s="92"/>
      <c r="E44" s="93"/>
      <c r="F44" s="134" t="s">
        <v>118</v>
      </c>
      <c r="G44" s="83"/>
      <c r="H44" s="83"/>
      <c r="I44" s="133"/>
      <c r="J44" s="132"/>
      <c r="K44" s="132"/>
    </row>
    <row r="45" spans="1:11" ht="21.75" customHeight="1">
      <c r="A45" s="80" t="s">
        <v>119</v>
      </c>
      <c r="B45" s="81"/>
      <c r="C45" s="81"/>
      <c r="D45" s="81"/>
      <c r="E45" s="82"/>
      <c r="F45" s="134" t="s">
        <v>120</v>
      </c>
      <c r="G45" s="83"/>
      <c r="H45" s="83">
        <v>3000</v>
      </c>
      <c r="I45" s="133"/>
      <c r="J45" s="132"/>
      <c r="K45" s="132"/>
    </row>
    <row r="46" spans="1:11" ht="21.75" customHeight="1">
      <c r="A46" s="80" t="s">
        <v>121</v>
      </c>
      <c r="B46" s="81"/>
      <c r="C46" s="81"/>
      <c r="D46" s="81"/>
      <c r="E46" s="82"/>
      <c r="F46" s="134"/>
      <c r="G46" s="83"/>
      <c r="H46" s="83"/>
      <c r="I46" s="133"/>
      <c r="J46" s="132"/>
      <c r="K46" s="132"/>
    </row>
    <row r="47" spans="1:11" ht="21.75" customHeight="1">
      <c r="A47" s="80" t="s">
        <v>122</v>
      </c>
      <c r="B47" s="81"/>
      <c r="C47" s="81"/>
      <c r="D47" s="81"/>
      <c r="E47" s="82"/>
      <c r="F47" s="134" t="s">
        <v>123</v>
      </c>
      <c r="G47" s="83"/>
      <c r="H47" s="83"/>
      <c r="I47" s="133"/>
      <c r="J47" s="132"/>
      <c r="K47" s="132"/>
    </row>
    <row r="48" spans="1:11" ht="21.75" customHeight="1">
      <c r="A48" s="80" t="s">
        <v>124</v>
      </c>
      <c r="B48" s="81"/>
      <c r="C48" s="81"/>
      <c r="D48" s="81"/>
      <c r="E48" s="82"/>
      <c r="F48" s="134" t="s">
        <v>125</v>
      </c>
      <c r="G48" s="83"/>
      <c r="H48" s="83"/>
      <c r="I48" s="133"/>
      <c r="J48" s="132"/>
      <c r="K48" s="132"/>
    </row>
    <row r="49" spans="1:11" ht="21.75" customHeight="1">
      <c r="A49" s="80" t="s">
        <v>126</v>
      </c>
      <c r="B49" s="81"/>
      <c r="C49" s="81"/>
      <c r="D49" s="81"/>
      <c r="E49" s="82"/>
      <c r="F49" s="134"/>
      <c r="G49" s="83"/>
      <c r="H49" s="83"/>
      <c r="I49" s="133"/>
      <c r="J49" s="132"/>
      <c r="K49" s="132"/>
    </row>
    <row r="50" spans="1:11" ht="21.75" customHeight="1">
      <c r="A50" s="80" t="s">
        <v>127</v>
      </c>
      <c r="B50" s="81"/>
      <c r="C50" s="81"/>
      <c r="D50" s="81"/>
      <c r="E50" s="82"/>
      <c r="F50" s="134" t="s">
        <v>128</v>
      </c>
      <c r="G50" s="83"/>
      <c r="H50" s="83"/>
      <c r="I50" s="133"/>
      <c r="J50" s="132"/>
      <c r="K50" s="132"/>
    </row>
    <row r="51" spans="1:11" ht="21.75" customHeight="1">
      <c r="A51" s="80" t="s">
        <v>281</v>
      </c>
      <c r="B51" s="81"/>
      <c r="C51" s="81"/>
      <c r="D51" s="81"/>
      <c r="E51" s="82"/>
      <c r="F51" s="134" t="s">
        <v>129</v>
      </c>
      <c r="G51" s="83">
        <v>133</v>
      </c>
      <c r="H51" s="83">
        <f>20+20+60+20+160+20+20+20</f>
        <v>340</v>
      </c>
      <c r="I51" s="133"/>
      <c r="J51" s="132"/>
      <c r="K51" s="132"/>
    </row>
    <row r="52" spans="1:11" ht="21.75" customHeight="1">
      <c r="A52" s="80" t="s">
        <v>130</v>
      </c>
      <c r="B52" s="81"/>
      <c r="C52" s="81"/>
      <c r="D52" s="81"/>
      <c r="E52" s="82"/>
      <c r="F52" s="134" t="s">
        <v>131</v>
      </c>
      <c r="G52" s="83"/>
      <c r="H52" s="83"/>
      <c r="I52" s="133"/>
      <c r="J52" s="132"/>
      <c r="K52" s="132"/>
    </row>
    <row r="53" spans="1:11" ht="21.75" customHeight="1">
      <c r="A53" s="80" t="s">
        <v>282</v>
      </c>
      <c r="B53" s="81"/>
      <c r="C53" s="81"/>
      <c r="D53" s="81"/>
      <c r="E53" s="82"/>
      <c r="F53" s="134" t="s">
        <v>132</v>
      </c>
      <c r="G53" s="83">
        <v>13000</v>
      </c>
      <c r="H53" s="83">
        <f>2600+400+1600+2700+4900+1200+600+100</f>
        <v>14100</v>
      </c>
      <c r="I53" s="133"/>
      <c r="J53" s="132"/>
      <c r="K53" s="132"/>
    </row>
    <row r="54" spans="1:11" ht="21.75" customHeight="1">
      <c r="A54" s="80" t="s">
        <v>283</v>
      </c>
      <c r="B54" s="81"/>
      <c r="C54" s="81"/>
      <c r="D54" s="81"/>
      <c r="E54" s="82"/>
      <c r="F54" s="134" t="s">
        <v>284</v>
      </c>
      <c r="G54" s="83"/>
      <c r="H54" s="83"/>
      <c r="I54" s="133"/>
      <c r="J54" s="132"/>
      <c r="K54" s="132"/>
    </row>
    <row r="55" spans="1:11" ht="21.75" customHeight="1">
      <c r="A55" s="80"/>
      <c r="B55" s="81"/>
      <c r="C55" s="81"/>
      <c r="D55" s="81"/>
      <c r="E55" s="144" t="s">
        <v>9</v>
      </c>
      <c r="F55" s="132"/>
      <c r="G55" s="90">
        <f>SUM(G16:G40)+G44+G45+G46+G47+G48+G49+G50+G51+G52+G54+G53</f>
        <v>35193</v>
      </c>
      <c r="H55" s="90">
        <f>SUM(H16:H40)+H44+H45+H46+H47+H48+H49+H50+H51+H52+H54+H53</f>
        <v>23609</v>
      </c>
      <c r="I55" s="135"/>
      <c r="J55" s="114"/>
      <c r="K55" s="114"/>
    </row>
    <row r="56" spans="1:11" ht="21.75" customHeight="1">
      <c r="A56" s="112" t="s">
        <v>133</v>
      </c>
      <c r="B56" s="117"/>
      <c r="C56" s="117"/>
      <c r="D56" s="81"/>
      <c r="E56" s="82"/>
      <c r="F56" s="134" t="s">
        <v>134</v>
      </c>
      <c r="G56" s="83"/>
      <c r="H56" s="83"/>
      <c r="I56" s="133"/>
      <c r="J56" s="132"/>
      <c r="K56" s="132"/>
    </row>
    <row r="57" spans="1:11" ht="21.75" customHeight="1">
      <c r="A57" s="80" t="s">
        <v>135</v>
      </c>
      <c r="B57" s="81"/>
      <c r="C57" s="81"/>
      <c r="D57" s="81"/>
      <c r="E57" s="82"/>
      <c r="F57" s="134" t="s">
        <v>136</v>
      </c>
      <c r="G57" s="83"/>
      <c r="H57" s="83"/>
      <c r="I57" s="133"/>
      <c r="J57" s="132"/>
      <c r="K57" s="132"/>
    </row>
    <row r="58" spans="1:11" ht="21.75" customHeight="1">
      <c r="A58" s="80" t="s">
        <v>137</v>
      </c>
      <c r="B58" s="81"/>
      <c r="C58" s="81"/>
      <c r="D58" s="81"/>
      <c r="E58" s="82"/>
      <c r="F58" s="134" t="s">
        <v>138</v>
      </c>
      <c r="G58" s="83"/>
      <c r="H58" s="83"/>
      <c r="I58" s="133"/>
      <c r="J58" s="132"/>
      <c r="K58" s="132"/>
    </row>
    <row r="59" spans="1:11" ht="21.75" customHeight="1">
      <c r="A59" s="80" t="s">
        <v>139</v>
      </c>
      <c r="B59" s="81"/>
      <c r="C59" s="81"/>
      <c r="D59" s="81"/>
      <c r="E59" s="82"/>
      <c r="F59" s="134" t="s">
        <v>140</v>
      </c>
      <c r="G59" s="83">
        <v>80000</v>
      </c>
      <c r="H59" s="83">
        <f>30698+14092.3+4152.74+26915.91+7462.42</f>
        <v>83321.37</v>
      </c>
      <c r="I59" s="133"/>
      <c r="J59" s="132"/>
      <c r="K59" s="132"/>
    </row>
    <row r="60" spans="1:11" ht="21.75" customHeight="1">
      <c r="A60" s="80" t="s">
        <v>141</v>
      </c>
      <c r="B60" s="81"/>
      <c r="C60" s="81"/>
      <c r="D60" s="81"/>
      <c r="E60" s="82"/>
      <c r="F60" s="134" t="s">
        <v>142</v>
      </c>
      <c r="G60" s="83"/>
      <c r="H60" s="83"/>
      <c r="I60" s="133"/>
      <c r="J60" s="132"/>
      <c r="K60" s="132"/>
    </row>
    <row r="61" spans="1:11" ht="21.75" customHeight="1">
      <c r="A61" s="80" t="s">
        <v>143</v>
      </c>
      <c r="B61" s="81"/>
      <c r="C61" s="81"/>
      <c r="D61" s="81"/>
      <c r="E61" s="82"/>
      <c r="F61" s="134" t="s">
        <v>144</v>
      </c>
      <c r="G61" s="83"/>
      <c r="H61" s="83"/>
      <c r="I61" s="133"/>
      <c r="J61" s="132"/>
      <c r="K61" s="132"/>
    </row>
    <row r="62" spans="1:11" ht="21.75" customHeight="1">
      <c r="A62" s="80"/>
      <c r="B62" s="81"/>
      <c r="C62" s="81"/>
      <c r="D62" s="81"/>
      <c r="E62" s="144" t="s">
        <v>9</v>
      </c>
      <c r="F62" s="132"/>
      <c r="G62" s="90">
        <f>SUM(G56:G61)</f>
        <v>80000</v>
      </c>
      <c r="H62" s="90">
        <f>SUM(H59:H61)</f>
        <v>83321.37</v>
      </c>
      <c r="I62" s="135"/>
      <c r="J62" s="114"/>
      <c r="K62" s="114"/>
    </row>
    <row r="63" spans="1:11" ht="21.75" customHeight="1">
      <c r="A63" s="112" t="s">
        <v>145</v>
      </c>
      <c r="B63" s="81"/>
      <c r="C63" s="81"/>
      <c r="D63" s="81"/>
      <c r="E63" s="82"/>
      <c r="F63" s="134" t="s">
        <v>146</v>
      </c>
      <c r="G63" s="83"/>
      <c r="H63" s="83"/>
      <c r="I63" s="133"/>
      <c r="J63" s="132"/>
      <c r="K63" s="132"/>
    </row>
    <row r="64" spans="1:11" ht="21.75" customHeight="1">
      <c r="A64" s="80" t="s">
        <v>147</v>
      </c>
      <c r="B64" s="81"/>
      <c r="C64" s="81"/>
      <c r="D64" s="81"/>
      <c r="E64" s="82"/>
      <c r="F64" s="134" t="s">
        <v>148</v>
      </c>
      <c r="G64" s="83"/>
      <c r="H64" s="83"/>
      <c r="I64" s="133"/>
      <c r="J64" s="132"/>
      <c r="K64" s="132"/>
    </row>
    <row r="65" spans="1:11" ht="21.75" customHeight="1">
      <c r="A65" s="80" t="s">
        <v>149</v>
      </c>
      <c r="B65" s="81"/>
      <c r="C65" s="81"/>
      <c r="D65" s="81"/>
      <c r="E65" s="82"/>
      <c r="F65" s="134" t="s">
        <v>150</v>
      </c>
      <c r="G65" s="83"/>
      <c r="H65" s="83"/>
      <c r="I65" s="133"/>
      <c r="J65" s="132"/>
      <c r="K65" s="132"/>
    </row>
    <row r="66" spans="1:11" ht="21.75" customHeight="1">
      <c r="A66" s="80" t="s">
        <v>151</v>
      </c>
      <c r="B66" s="81"/>
      <c r="C66" s="81"/>
      <c r="D66" s="81"/>
      <c r="E66" s="82"/>
      <c r="F66" s="134" t="s">
        <v>152</v>
      </c>
      <c r="G66" s="83"/>
      <c r="H66" s="83"/>
      <c r="I66" s="133"/>
      <c r="J66" s="132"/>
      <c r="K66" s="132"/>
    </row>
    <row r="67" spans="1:11" ht="21.75" customHeight="1">
      <c r="A67" s="80" t="s">
        <v>153</v>
      </c>
      <c r="B67" s="81"/>
      <c r="C67" s="81"/>
      <c r="D67" s="81"/>
      <c r="E67" s="82"/>
      <c r="F67" s="136"/>
      <c r="G67" s="83"/>
      <c r="H67" s="83"/>
      <c r="I67" s="132"/>
      <c r="J67" s="132"/>
      <c r="K67" s="132"/>
    </row>
    <row r="68" spans="1:11" ht="21.75" customHeight="1">
      <c r="A68" s="80"/>
      <c r="B68" s="81"/>
      <c r="C68" s="81"/>
      <c r="D68" s="81"/>
      <c r="E68" s="144" t="s">
        <v>9</v>
      </c>
      <c r="F68" s="132"/>
      <c r="G68" s="90">
        <f>SUM(G63:G66)</f>
        <v>0</v>
      </c>
      <c r="H68" s="90">
        <f>SUM(H63:H66)</f>
        <v>0</v>
      </c>
      <c r="I68" s="107"/>
      <c r="J68" s="139"/>
      <c r="K68" s="139"/>
    </row>
    <row r="69" spans="1:11" ht="21.75" customHeight="1">
      <c r="A69" s="112" t="s">
        <v>154</v>
      </c>
      <c r="B69" s="81"/>
      <c r="C69" s="81"/>
      <c r="D69" s="81"/>
      <c r="E69" s="82"/>
      <c r="F69" s="134" t="s">
        <v>155</v>
      </c>
      <c r="G69" s="83"/>
      <c r="H69" s="83"/>
      <c r="I69" s="133"/>
      <c r="J69" s="132"/>
      <c r="K69" s="132"/>
    </row>
    <row r="70" spans="1:11" ht="21.75" customHeight="1">
      <c r="A70" s="80" t="s">
        <v>156</v>
      </c>
      <c r="B70" s="81"/>
      <c r="C70" s="81"/>
      <c r="D70" s="81"/>
      <c r="E70" s="82"/>
      <c r="F70" s="134" t="s">
        <v>157</v>
      </c>
      <c r="G70" s="83"/>
      <c r="H70" s="83"/>
      <c r="I70" s="133"/>
      <c r="J70" s="132"/>
      <c r="K70" s="132"/>
    </row>
    <row r="71" spans="1:11" ht="21.75" customHeight="1">
      <c r="A71" s="80" t="s">
        <v>158</v>
      </c>
      <c r="B71" s="81"/>
      <c r="C71" s="81"/>
      <c r="D71" s="81"/>
      <c r="E71" s="82"/>
      <c r="F71" s="134" t="s">
        <v>159</v>
      </c>
      <c r="G71" s="83">
        <v>50000</v>
      </c>
      <c r="H71" s="83">
        <f>22000+30000+17900+59500+8000</f>
        <v>137400</v>
      </c>
      <c r="I71" s="133"/>
      <c r="J71" s="132"/>
      <c r="K71" s="132"/>
    </row>
    <row r="72" spans="1:11" ht="21.75" customHeight="1">
      <c r="A72" s="80" t="s">
        <v>285</v>
      </c>
      <c r="B72" s="81"/>
      <c r="C72" s="81"/>
      <c r="D72" s="81"/>
      <c r="E72" s="82"/>
      <c r="F72" s="134" t="s">
        <v>160</v>
      </c>
      <c r="G72" s="83">
        <v>1200</v>
      </c>
      <c r="H72" s="83">
        <v>800</v>
      </c>
      <c r="I72" s="133"/>
      <c r="J72" s="132"/>
      <c r="K72" s="132"/>
    </row>
    <row r="73" spans="1:11" ht="21.75" customHeight="1">
      <c r="A73" s="80" t="s">
        <v>161</v>
      </c>
      <c r="B73" s="81"/>
      <c r="C73" s="81"/>
      <c r="D73" s="81"/>
      <c r="E73" s="82"/>
      <c r="F73" s="134" t="s">
        <v>162</v>
      </c>
      <c r="G73" s="83"/>
      <c r="H73" s="83"/>
      <c r="I73" s="133"/>
      <c r="J73" s="132"/>
      <c r="K73" s="132"/>
    </row>
    <row r="74" spans="1:11" ht="21.75" customHeight="1">
      <c r="A74" s="80" t="s">
        <v>163</v>
      </c>
      <c r="B74" s="81"/>
      <c r="C74" s="81"/>
      <c r="D74" s="81"/>
      <c r="E74" s="82"/>
      <c r="F74" s="134" t="s">
        <v>164</v>
      </c>
      <c r="G74" s="83">
        <v>1000</v>
      </c>
      <c r="H74" s="83"/>
      <c r="I74" s="133"/>
      <c r="J74" s="132"/>
      <c r="K74" s="132"/>
    </row>
    <row r="75" spans="1:11" ht="21.75" customHeight="1">
      <c r="A75" s="80" t="s">
        <v>165</v>
      </c>
      <c r="B75" s="81"/>
      <c r="C75" s="81"/>
      <c r="D75" s="81"/>
      <c r="E75" s="82"/>
      <c r="F75" s="134" t="s">
        <v>166</v>
      </c>
      <c r="G75" s="83"/>
      <c r="H75" s="83"/>
      <c r="I75" s="133"/>
      <c r="J75" s="132"/>
      <c r="K75" s="132"/>
    </row>
    <row r="76" spans="1:11" ht="21.75" customHeight="1">
      <c r="A76" s="80" t="s">
        <v>167</v>
      </c>
      <c r="B76" s="81"/>
      <c r="C76" s="81"/>
      <c r="D76" s="81"/>
      <c r="E76" s="82"/>
      <c r="F76" s="134" t="s">
        <v>168</v>
      </c>
      <c r="G76" s="83">
        <v>1000</v>
      </c>
      <c r="H76" s="83">
        <f>100+900+20+610+10+810+318600+1260+270+400+100</f>
        <v>323080</v>
      </c>
      <c r="I76" s="134" t="s">
        <v>169</v>
      </c>
      <c r="J76" s="132"/>
      <c r="K76" s="132"/>
    </row>
    <row r="77" spans="1:11" ht="21.75" customHeight="1">
      <c r="A77" s="80"/>
      <c r="B77" s="81"/>
      <c r="C77" s="81"/>
      <c r="D77" s="81"/>
      <c r="E77" s="144" t="s">
        <v>9</v>
      </c>
      <c r="F77" s="132"/>
      <c r="G77" s="90">
        <f>SUM(G69:G76)</f>
        <v>53200</v>
      </c>
      <c r="H77" s="90">
        <f>SUM(H69:H76)</f>
        <v>461280</v>
      </c>
      <c r="I77" s="107"/>
      <c r="J77" s="139"/>
      <c r="K77" s="139"/>
    </row>
    <row r="78" spans="1:11" ht="21.75" customHeight="1">
      <c r="A78" s="112" t="s">
        <v>170</v>
      </c>
      <c r="B78" s="81"/>
      <c r="C78" s="81"/>
      <c r="D78" s="81"/>
      <c r="E78" s="82"/>
      <c r="F78" s="134" t="s">
        <v>171</v>
      </c>
      <c r="G78" s="83"/>
      <c r="H78" s="83"/>
      <c r="I78" s="106"/>
      <c r="J78" s="140"/>
      <c r="K78" s="140"/>
    </row>
    <row r="79" spans="1:11" ht="21.75" customHeight="1">
      <c r="A79" s="80" t="s">
        <v>172</v>
      </c>
      <c r="B79" s="81"/>
      <c r="C79" s="81"/>
      <c r="D79" s="81"/>
      <c r="E79" s="82"/>
      <c r="F79" s="134" t="s">
        <v>173</v>
      </c>
      <c r="G79" s="83"/>
      <c r="H79" s="83"/>
      <c r="I79" s="106"/>
      <c r="J79" s="140"/>
      <c r="K79" s="140"/>
    </row>
    <row r="80" spans="1:11" ht="21.75" customHeight="1">
      <c r="A80" s="84"/>
      <c r="B80" s="85"/>
      <c r="C80" s="85"/>
      <c r="D80" s="85"/>
      <c r="E80" s="87" t="s">
        <v>9</v>
      </c>
      <c r="F80" s="138"/>
      <c r="G80" s="90">
        <f>SUM(G78:G79)</f>
        <v>0</v>
      </c>
      <c r="H80" s="90">
        <f>SUM(H78:H79)</f>
        <v>0</v>
      </c>
      <c r="I80" s="107"/>
      <c r="J80" s="139"/>
      <c r="K80" s="139"/>
    </row>
    <row r="81" spans="1:11" ht="21.75" customHeight="1">
      <c r="A81" s="81"/>
      <c r="B81" s="81"/>
      <c r="C81" s="81"/>
      <c r="D81" s="81"/>
      <c r="E81" s="117"/>
      <c r="F81" s="81"/>
      <c r="G81" s="108"/>
      <c r="H81" s="108"/>
      <c r="I81" s="141"/>
      <c r="J81" s="140"/>
      <c r="K81" s="140"/>
    </row>
    <row r="82" spans="1:11" ht="21.75" customHeight="1">
      <c r="A82" s="81"/>
      <c r="B82" s="81"/>
      <c r="C82" s="81"/>
      <c r="D82" s="81"/>
      <c r="E82" s="117"/>
      <c r="F82" s="81"/>
      <c r="G82" s="108"/>
      <c r="H82" s="108"/>
      <c r="I82" s="141"/>
      <c r="J82" s="140"/>
      <c r="K82" s="140"/>
    </row>
    <row r="83" spans="1:11" ht="21.75" customHeight="1">
      <c r="A83" s="91"/>
      <c r="B83" s="92"/>
      <c r="C83" s="92"/>
      <c r="D83" s="92"/>
      <c r="E83" s="92"/>
      <c r="F83" s="137" t="s">
        <v>27</v>
      </c>
      <c r="G83" s="137" t="s">
        <v>53</v>
      </c>
      <c r="H83" s="137" t="s">
        <v>54</v>
      </c>
      <c r="I83" s="105"/>
      <c r="J83" s="105"/>
      <c r="K83" s="105"/>
    </row>
    <row r="84" spans="1:11" ht="21.75" customHeight="1">
      <c r="A84" s="84"/>
      <c r="B84" s="85"/>
      <c r="C84" s="85"/>
      <c r="D84" s="85"/>
      <c r="E84" s="85"/>
      <c r="F84" s="138"/>
      <c r="G84" s="138"/>
      <c r="H84" s="138"/>
      <c r="I84" s="132"/>
      <c r="J84" s="132"/>
      <c r="K84" s="132"/>
    </row>
    <row r="85" spans="1:11" ht="21.75" customHeight="1">
      <c r="A85" s="112" t="s">
        <v>174</v>
      </c>
      <c r="B85" s="81"/>
      <c r="C85" s="81"/>
      <c r="D85" s="81"/>
      <c r="E85" s="81"/>
      <c r="F85" s="136"/>
      <c r="G85" s="83"/>
      <c r="H85" s="83"/>
      <c r="I85" s="132"/>
      <c r="J85" s="132"/>
      <c r="K85" s="132"/>
    </row>
    <row r="86" spans="1:11" ht="21.75" customHeight="1">
      <c r="A86" s="112" t="s">
        <v>175</v>
      </c>
      <c r="B86" s="81"/>
      <c r="C86" s="81"/>
      <c r="D86" s="81"/>
      <c r="E86" s="81"/>
      <c r="F86" s="136">
        <v>1000</v>
      </c>
      <c r="G86" s="83"/>
      <c r="H86" s="83"/>
      <c r="I86" s="106"/>
      <c r="J86" s="140"/>
      <c r="K86" s="140"/>
    </row>
    <row r="87" spans="1:11" ht="21.75" customHeight="1">
      <c r="A87" s="80" t="s">
        <v>176</v>
      </c>
      <c r="B87" s="81"/>
      <c r="C87" s="81"/>
      <c r="D87" s="81"/>
      <c r="E87" s="81"/>
      <c r="F87" s="136">
        <v>1001</v>
      </c>
      <c r="G87" s="83"/>
      <c r="H87" s="83"/>
      <c r="I87" s="106"/>
      <c r="J87" s="140"/>
      <c r="K87" s="140"/>
    </row>
    <row r="88" spans="1:11" ht="21.75" customHeight="1">
      <c r="A88" s="80" t="s">
        <v>177</v>
      </c>
      <c r="B88" s="81"/>
      <c r="C88" s="81"/>
      <c r="D88" s="81"/>
      <c r="E88" s="81"/>
      <c r="F88" s="136">
        <v>1002</v>
      </c>
      <c r="G88" s="83">
        <v>5000000</v>
      </c>
      <c r="H88" s="83">
        <f>96826.31+83900.58+846298.02+107258.32+880635.11+108563.31+920788.7+560597.46+108849.68+1076712.15+122755.36+1272853.98</f>
        <v>6186038.98</v>
      </c>
      <c r="I88" s="106"/>
      <c r="J88" s="140"/>
      <c r="K88" s="140"/>
    </row>
    <row r="89" spans="1:11" ht="21.75" customHeight="1">
      <c r="A89" s="80" t="s">
        <v>178</v>
      </c>
      <c r="B89" s="81"/>
      <c r="C89" s="81"/>
      <c r="D89" s="81"/>
      <c r="E89" s="81"/>
      <c r="F89" s="136">
        <v>1003</v>
      </c>
      <c r="G89" s="83"/>
      <c r="H89" s="83"/>
      <c r="I89" s="106"/>
      <c r="J89" s="140"/>
      <c r="K89" s="140"/>
    </row>
    <row r="90" spans="1:11" ht="21.75" customHeight="1">
      <c r="A90" s="80" t="s">
        <v>179</v>
      </c>
      <c r="B90" s="81"/>
      <c r="C90" s="81"/>
      <c r="D90" s="81"/>
      <c r="E90" s="81"/>
      <c r="F90" s="136"/>
      <c r="G90" s="83"/>
      <c r="H90" s="83"/>
      <c r="I90" s="106"/>
      <c r="J90" s="140"/>
      <c r="K90" s="140"/>
    </row>
    <row r="91" spans="1:11" ht="21.75" customHeight="1">
      <c r="A91" s="80" t="s">
        <v>180</v>
      </c>
      <c r="B91" s="81"/>
      <c r="C91" s="81"/>
      <c r="D91" s="81"/>
      <c r="E91" s="81"/>
      <c r="F91" s="136">
        <v>1004</v>
      </c>
      <c r="G91" s="83">
        <v>20000</v>
      </c>
      <c r="H91" s="83">
        <f>7905.47+4305.7+6433.28+17737.42+9163.35</f>
        <v>45545.219999999994</v>
      </c>
      <c r="I91" s="106"/>
      <c r="J91" s="140"/>
      <c r="K91" s="140"/>
    </row>
    <row r="92" spans="1:11" ht="21.75" customHeight="1">
      <c r="A92" s="80" t="s">
        <v>181</v>
      </c>
      <c r="B92" s="81"/>
      <c r="C92" s="81"/>
      <c r="D92" s="81"/>
      <c r="E92" s="81"/>
      <c r="F92" s="136">
        <v>1005</v>
      </c>
      <c r="G92" s="83">
        <v>500000</v>
      </c>
      <c r="H92" s="83">
        <f>46348.76+6003.37+92704.87+64779.47+54589.11+56527.45+66874.54+52740.96+51111.25+47848.24+86064.17</f>
        <v>625592.1900000001</v>
      </c>
      <c r="I92" s="106"/>
      <c r="J92" s="140"/>
      <c r="K92" s="140"/>
    </row>
    <row r="93" spans="1:11" ht="21.75" customHeight="1">
      <c r="A93" s="80" t="s">
        <v>182</v>
      </c>
      <c r="B93" s="81"/>
      <c r="C93" s="81"/>
      <c r="D93" s="81"/>
      <c r="E93" s="81"/>
      <c r="F93" s="136">
        <v>1006</v>
      </c>
      <c r="G93" s="83">
        <v>1279720</v>
      </c>
      <c r="H93" s="83">
        <f>137544.86+22417.31+240310.8+146754.39+152523.5+142222.86+148223.48+148013.98+97585+87312.89+184600.28</f>
        <v>1507509.3499999999</v>
      </c>
      <c r="I93" s="106"/>
      <c r="J93" s="140"/>
      <c r="K93" s="140"/>
    </row>
    <row r="94" spans="1:11" ht="21.75" customHeight="1">
      <c r="A94" s="80" t="s">
        <v>183</v>
      </c>
      <c r="B94" s="81"/>
      <c r="C94" s="81"/>
      <c r="D94" s="81"/>
      <c r="E94" s="81"/>
      <c r="F94" s="136">
        <v>1007</v>
      </c>
      <c r="G94" s="83"/>
      <c r="H94" s="83"/>
      <c r="I94" s="106"/>
      <c r="J94" s="140"/>
      <c r="K94" s="140"/>
    </row>
    <row r="95" spans="1:11" ht="21.75" customHeight="1">
      <c r="A95" s="80" t="s">
        <v>184</v>
      </c>
      <c r="B95" s="81"/>
      <c r="C95" s="81"/>
      <c r="D95" s="81"/>
      <c r="E95" s="81"/>
      <c r="F95" s="136">
        <v>1008</v>
      </c>
      <c r="G95" s="83"/>
      <c r="H95" s="83"/>
      <c r="I95" s="106"/>
      <c r="J95" s="140"/>
      <c r="K95" s="140"/>
    </row>
    <row r="96" spans="1:11" ht="21.75" customHeight="1">
      <c r="A96" s="80" t="s">
        <v>185</v>
      </c>
      <c r="B96" s="81"/>
      <c r="C96" s="81"/>
      <c r="D96" s="81"/>
      <c r="E96" s="81"/>
      <c r="F96" s="136">
        <v>1009</v>
      </c>
      <c r="G96" s="83"/>
      <c r="H96" s="83"/>
      <c r="I96" s="106"/>
      <c r="J96" s="140"/>
      <c r="K96" s="140"/>
    </row>
    <row r="97" spans="1:11" ht="21.75" customHeight="1">
      <c r="A97" s="80" t="s">
        <v>186</v>
      </c>
      <c r="B97" s="81"/>
      <c r="C97" s="81"/>
      <c r="D97" s="81"/>
      <c r="E97" s="81"/>
      <c r="F97" s="136">
        <v>1010</v>
      </c>
      <c r="G97" s="83">
        <v>20000</v>
      </c>
      <c r="H97" s="83">
        <f>21177.12+7752.05+15074.68+6912.21</f>
        <v>50916.06</v>
      </c>
      <c r="I97" s="106"/>
      <c r="J97" s="140"/>
      <c r="K97" s="140"/>
    </row>
    <row r="98" spans="1:11" ht="21.75" customHeight="1">
      <c r="A98" s="80" t="s">
        <v>187</v>
      </c>
      <c r="B98" s="81"/>
      <c r="C98" s="81"/>
      <c r="D98" s="81"/>
      <c r="E98" s="81"/>
      <c r="F98" s="136">
        <v>1011</v>
      </c>
      <c r="G98" s="83">
        <v>25000</v>
      </c>
      <c r="H98" s="83">
        <f>8865.5+8011.57+8230.17+9158.71</f>
        <v>34265.95</v>
      </c>
      <c r="I98" s="106"/>
      <c r="J98" s="140"/>
      <c r="K98" s="140"/>
    </row>
    <row r="99" spans="1:11" ht="21.75" customHeight="1">
      <c r="A99" s="80" t="s">
        <v>188</v>
      </c>
      <c r="B99" s="81"/>
      <c r="C99" s="81"/>
      <c r="D99" s="81"/>
      <c r="E99" s="81"/>
      <c r="F99" s="136">
        <v>1012</v>
      </c>
      <c r="G99" s="83"/>
      <c r="H99" s="83"/>
      <c r="I99" s="106"/>
      <c r="J99" s="140"/>
      <c r="K99" s="140"/>
    </row>
    <row r="100" spans="1:11" ht="21.75" customHeight="1">
      <c r="A100" s="80" t="s">
        <v>189</v>
      </c>
      <c r="B100" s="81"/>
      <c r="C100" s="81"/>
      <c r="D100" s="81"/>
      <c r="E100" s="81"/>
      <c r="F100" s="136">
        <v>1013</v>
      </c>
      <c r="G100" s="83">
        <v>190000</v>
      </c>
      <c r="H100" s="83">
        <f>11977+19964+8130+10102+90619+20363+13622+17956+23746+6394</f>
        <v>222873</v>
      </c>
      <c r="I100" s="106"/>
      <c r="J100" s="140"/>
      <c r="K100" s="140"/>
    </row>
    <row r="101" spans="1:11" ht="21.75" customHeight="1">
      <c r="A101" s="80" t="s">
        <v>190</v>
      </c>
      <c r="B101" s="81"/>
      <c r="C101" s="81"/>
      <c r="D101" s="81"/>
      <c r="E101" s="81"/>
      <c r="F101" s="136">
        <v>1014</v>
      </c>
      <c r="G101" s="83"/>
      <c r="H101" s="83"/>
      <c r="I101" s="106"/>
      <c r="J101" s="140"/>
      <c r="K101" s="140"/>
    </row>
    <row r="102" spans="1:11" ht="21.75" customHeight="1">
      <c r="A102" s="80" t="s">
        <v>191</v>
      </c>
      <c r="B102" s="81"/>
      <c r="C102" s="81"/>
      <c r="D102" s="81"/>
      <c r="E102" s="81"/>
      <c r="F102" s="136">
        <v>1015</v>
      </c>
      <c r="G102" s="83"/>
      <c r="H102" s="83"/>
      <c r="I102" s="106"/>
      <c r="J102" s="140"/>
      <c r="K102" s="140"/>
    </row>
    <row r="103" spans="1:11" ht="21.75" customHeight="1">
      <c r="A103" s="80" t="s">
        <v>192</v>
      </c>
      <c r="B103" s="81"/>
      <c r="C103" s="81"/>
      <c r="D103" s="81"/>
      <c r="E103" s="81"/>
      <c r="F103" s="136">
        <v>1016</v>
      </c>
      <c r="G103" s="83"/>
      <c r="H103" s="83">
        <v>1030</v>
      </c>
      <c r="I103" s="106"/>
      <c r="J103" s="140"/>
      <c r="K103" s="140"/>
    </row>
    <row r="104" spans="1:11" ht="21.75" customHeight="1">
      <c r="A104" s="80" t="s">
        <v>193</v>
      </c>
      <c r="B104" s="81"/>
      <c r="C104" s="81"/>
      <c r="D104" s="81"/>
      <c r="E104" s="81"/>
      <c r="F104" s="136">
        <v>1017</v>
      </c>
      <c r="G104" s="83"/>
      <c r="H104" s="83"/>
      <c r="I104" s="106"/>
      <c r="J104" s="140"/>
      <c r="K104" s="140"/>
    </row>
    <row r="105" spans="1:11" ht="21.75" customHeight="1">
      <c r="A105" s="80"/>
      <c r="B105" s="81"/>
      <c r="C105" s="81"/>
      <c r="D105" s="81"/>
      <c r="E105" s="117" t="s">
        <v>9</v>
      </c>
      <c r="F105" s="132"/>
      <c r="G105" s="90">
        <f>SUM(G86:G104)</f>
        <v>7034720</v>
      </c>
      <c r="H105" s="90">
        <f>SUM(H86:H104)</f>
        <v>8673770.75</v>
      </c>
      <c r="I105" s="107"/>
      <c r="J105" s="139"/>
      <c r="K105" s="139"/>
    </row>
    <row r="106" spans="1:11" ht="21.75" customHeight="1">
      <c r="A106" s="112" t="s">
        <v>194</v>
      </c>
      <c r="B106" s="81"/>
      <c r="C106" s="81"/>
      <c r="D106" s="81"/>
      <c r="E106" s="81"/>
      <c r="F106" s="132"/>
      <c r="G106" s="83"/>
      <c r="H106" s="83"/>
      <c r="I106" s="106"/>
      <c r="J106" s="140"/>
      <c r="K106" s="140"/>
    </row>
    <row r="107" spans="1:11" ht="21.75" customHeight="1">
      <c r="A107" s="112" t="s">
        <v>195</v>
      </c>
      <c r="B107" s="81"/>
      <c r="C107" s="81"/>
      <c r="D107" s="81"/>
      <c r="E107" s="81"/>
      <c r="F107" s="136">
        <v>2000</v>
      </c>
      <c r="G107" s="83"/>
      <c r="H107" s="83"/>
      <c r="I107" s="106"/>
      <c r="J107" s="140"/>
      <c r="K107" s="140"/>
    </row>
    <row r="108" spans="1:11" ht="21.75" customHeight="1">
      <c r="A108" s="80" t="s">
        <v>196</v>
      </c>
      <c r="B108" s="81"/>
      <c r="C108" s="81"/>
      <c r="D108" s="81"/>
      <c r="E108" s="81"/>
      <c r="F108" s="136"/>
      <c r="G108" s="83"/>
      <c r="H108" s="83"/>
      <c r="I108" s="106"/>
      <c r="J108" s="140"/>
      <c r="K108" s="140"/>
    </row>
    <row r="109" spans="1:11" ht="21.75" customHeight="1">
      <c r="A109" s="80" t="s">
        <v>197</v>
      </c>
      <c r="B109" s="81"/>
      <c r="C109" s="81"/>
      <c r="D109" s="81"/>
      <c r="E109" s="81"/>
      <c r="F109" s="136">
        <v>2001</v>
      </c>
      <c r="G109" s="83"/>
      <c r="H109" s="83"/>
      <c r="I109" s="106"/>
      <c r="J109" s="140"/>
      <c r="K109" s="140"/>
    </row>
    <row r="110" spans="1:11" ht="21.75" customHeight="1">
      <c r="A110" s="80" t="s">
        <v>198</v>
      </c>
      <c r="B110" s="81"/>
      <c r="C110" s="81"/>
      <c r="D110" s="81"/>
      <c r="E110" s="81"/>
      <c r="F110" s="136">
        <v>2002</v>
      </c>
      <c r="G110" s="83">
        <v>8287482</v>
      </c>
      <c r="H110" s="83">
        <v>5404004</v>
      </c>
      <c r="I110" s="106"/>
      <c r="J110" s="140"/>
      <c r="K110" s="140"/>
    </row>
    <row r="111" spans="1:11" ht="21.75" customHeight="1">
      <c r="A111" s="80" t="s">
        <v>199</v>
      </c>
      <c r="B111" s="81"/>
      <c r="C111" s="81"/>
      <c r="D111" s="81"/>
      <c r="E111" s="81"/>
      <c r="F111" s="136">
        <v>2003</v>
      </c>
      <c r="G111" s="83"/>
      <c r="H111" s="83"/>
      <c r="I111" s="106"/>
      <c r="J111" s="140"/>
      <c r="K111" s="140"/>
    </row>
    <row r="112" spans="1:11" ht="21.75" customHeight="1">
      <c r="A112" s="80" t="s">
        <v>200</v>
      </c>
      <c r="B112" s="81"/>
      <c r="C112" s="81"/>
      <c r="D112" s="81"/>
      <c r="E112" s="81"/>
      <c r="F112" s="136">
        <v>2004</v>
      </c>
      <c r="G112" s="83"/>
      <c r="H112" s="83">
        <f>70000+420000+780000+852000+268500+536000+117000+439000+268500</f>
        <v>3751000</v>
      </c>
      <c r="I112" s="106"/>
      <c r="J112" s="140"/>
      <c r="K112" s="140"/>
    </row>
    <row r="113" spans="1:11" ht="21.75" customHeight="1">
      <c r="A113" s="80"/>
      <c r="B113" s="81"/>
      <c r="C113" s="81"/>
      <c r="D113" s="81"/>
      <c r="E113" s="117" t="s">
        <v>9</v>
      </c>
      <c r="F113" s="132"/>
      <c r="G113" s="90">
        <f>SUM(G107:G112)</f>
        <v>8287482</v>
      </c>
      <c r="H113" s="90">
        <f>SUM(H107:H112)</f>
        <v>9155004</v>
      </c>
      <c r="I113" s="107"/>
      <c r="J113" s="139"/>
      <c r="K113" s="139"/>
    </row>
    <row r="114" spans="1:11" ht="21.75" customHeight="1">
      <c r="A114" s="112" t="s">
        <v>201</v>
      </c>
      <c r="B114" s="81"/>
      <c r="C114" s="81"/>
      <c r="D114" s="81"/>
      <c r="E114" s="81"/>
      <c r="F114" s="132"/>
      <c r="G114" s="83"/>
      <c r="H114" s="83"/>
      <c r="I114" s="106"/>
      <c r="J114" s="140"/>
      <c r="K114" s="140"/>
    </row>
    <row r="115" spans="1:11" ht="21.75" customHeight="1">
      <c r="A115" s="112" t="s">
        <v>202</v>
      </c>
      <c r="B115" s="81"/>
      <c r="C115" s="81"/>
      <c r="D115" s="81"/>
      <c r="E115" s="81"/>
      <c r="F115" s="136">
        <v>3000</v>
      </c>
      <c r="G115" s="83"/>
      <c r="H115" s="83"/>
      <c r="I115" s="106"/>
      <c r="J115" s="140"/>
      <c r="K115" s="140"/>
    </row>
    <row r="116" spans="1:11" ht="21.75" customHeight="1">
      <c r="A116" s="80" t="s">
        <v>203</v>
      </c>
      <c r="B116" s="81"/>
      <c r="C116" s="81"/>
      <c r="D116" s="81"/>
      <c r="E116" s="81"/>
      <c r="F116" s="136">
        <v>3001</v>
      </c>
      <c r="G116" s="83"/>
      <c r="H116" s="83">
        <f>62076+15519+15519+58275+11395+50463</f>
        <v>213247</v>
      </c>
      <c r="I116" s="106"/>
      <c r="J116" s="140"/>
      <c r="K116" s="140"/>
    </row>
    <row r="117" spans="1:11" ht="21.75" customHeight="1">
      <c r="A117" s="80" t="s">
        <v>204</v>
      </c>
      <c r="B117" s="81"/>
      <c r="C117" s="81"/>
      <c r="D117" s="81"/>
      <c r="E117" s="81"/>
      <c r="F117" s="136">
        <v>3002</v>
      </c>
      <c r="G117" s="83"/>
      <c r="H117" s="83"/>
      <c r="I117" s="106"/>
      <c r="J117" s="140"/>
      <c r="K117" s="140"/>
    </row>
    <row r="118" spans="1:11" ht="21.75" customHeight="1">
      <c r="A118" s="80"/>
      <c r="B118" s="81"/>
      <c r="C118" s="81"/>
      <c r="D118" s="81"/>
      <c r="E118" s="117" t="s">
        <v>9</v>
      </c>
      <c r="F118" s="132"/>
      <c r="G118" s="90">
        <f>SUM(G115:G117)</f>
        <v>0</v>
      </c>
      <c r="H118" s="90">
        <f>SUM(H115:H117)</f>
        <v>213247</v>
      </c>
      <c r="I118" s="107"/>
      <c r="J118" s="139"/>
      <c r="K118" s="139"/>
    </row>
    <row r="119" spans="1:11" ht="21.75" customHeight="1">
      <c r="A119" s="80" t="s">
        <v>205</v>
      </c>
      <c r="B119" s="81"/>
      <c r="C119" s="81"/>
      <c r="D119" s="81"/>
      <c r="E119" s="81"/>
      <c r="F119" s="136">
        <v>4001</v>
      </c>
      <c r="G119" s="83"/>
      <c r="H119" s="83"/>
      <c r="I119" s="106"/>
      <c r="J119" s="140"/>
      <c r="K119" s="140"/>
    </row>
    <row r="120" spans="1:11" ht="21.75" customHeight="1">
      <c r="A120" s="80" t="s">
        <v>206</v>
      </c>
      <c r="B120" s="81"/>
      <c r="C120" s="81"/>
      <c r="D120" s="81"/>
      <c r="E120" s="81"/>
      <c r="F120" s="136"/>
      <c r="G120" s="83"/>
      <c r="H120" s="83"/>
      <c r="I120" s="106"/>
      <c r="J120" s="140"/>
      <c r="K120" s="140"/>
    </row>
    <row r="121" spans="1:11" ht="21.75" customHeight="1">
      <c r="A121" s="80"/>
      <c r="B121" s="81"/>
      <c r="C121" s="81"/>
      <c r="D121" s="81"/>
      <c r="E121" s="81"/>
      <c r="F121" s="136"/>
      <c r="G121" s="83"/>
      <c r="H121" s="83"/>
      <c r="I121" s="106"/>
      <c r="J121" s="140"/>
      <c r="K121" s="140"/>
    </row>
    <row r="122" spans="1:12" ht="21.75" customHeight="1">
      <c r="A122" s="84"/>
      <c r="B122" s="85"/>
      <c r="C122" s="85"/>
      <c r="D122" s="85"/>
      <c r="E122" s="86" t="s">
        <v>207</v>
      </c>
      <c r="F122" s="138"/>
      <c r="G122" s="103">
        <f>G55+G62+G68+G77+G80+G105+G113+G118+G14+G119+G120</f>
        <v>15548715</v>
      </c>
      <c r="H122" s="103">
        <f>H55+H62+H68+H77+H80+H105+H113+H118+H14+H119</f>
        <v>18671157.319999997</v>
      </c>
      <c r="I122" s="107"/>
      <c r="J122" s="139"/>
      <c r="K122" s="139"/>
      <c r="L122" s="95"/>
    </row>
    <row r="123" ht="21.75" customHeight="1">
      <c r="H123" s="95"/>
    </row>
    <row r="124" ht="21.75" customHeight="1">
      <c r="G124" s="95"/>
    </row>
    <row r="125" ht="21.75" customHeight="1">
      <c r="G125" s="95"/>
    </row>
  </sheetData>
  <sheetProtection/>
  <mergeCells count="6">
    <mergeCell ref="A1:K1"/>
    <mergeCell ref="A2:K2"/>
    <mergeCell ref="A3:K3"/>
    <mergeCell ref="H4:H5"/>
    <mergeCell ref="F4:F5"/>
    <mergeCell ref="G4:G5"/>
  </mergeCells>
  <printOptions/>
  <pageMargins left="0.6692913385826772" right="0.3937007874015748" top="0.2362204724409449" bottom="0.2362204724409449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workbookViewId="0" topLeftCell="A7">
      <selection activeCell="B22" sqref="B22"/>
    </sheetView>
  </sheetViews>
  <sheetFormatPr defaultColWidth="9.140625" defaultRowHeight="12.75"/>
  <cols>
    <col min="1" max="1" width="26.140625" style="49" customWidth="1"/>
    <col min="2" max="2" width="15.140625" style="96" customWidth="1"/>
    <col min="3" max="3" width="14.421875" style="96" customWidth="1"/>
    <col min="4" max="4" width="18.8515625" style="96" customWidth="1"/>
    <col min="5" max="5" width="19.7109375" style="96" customWidth="1"/>
    <col min="6" max="6" width="20.421875" style="96" customWidth="1"/>
    <col min="7" max="7" width="9.140625" style="49" customWidth="1"/>
    <col min="8" max="9" width="11.28125" style="49" bestFit="1" customWidth="1"/>
    <col min="10" max="16384" width="9.140625" style="49" customWidth="1"/>
  </cols>
  <sheetData>
    <row r="1" spans="1:6" ht="23.25">
      <c r="A1" s="321" t="s">
        <v>245</v>
      </c>
      <c r="B1" s="321"/>
      <c r="C1" s="321"/>
      <c r="D1" s="321"/>
      <c r="E1" s="321"/>
      <c r="F1" s="321"/>
    </row>
    <row r="2" spans="1:6" ht="23.25">
      <c r="A2" s="321" t="s">
        <v>327</v>
      </c>
      <c r="B2" s="321"/>
      <c r="C2" s="321"/>
      <c r="D2" s="321"/>
      <c r="E2" s="321"/>
      <c r="F2" s="321"/>
    </row>
    <row r="3" spans="1:6" ht="23.25">
      <c r="A3" s="322" t="s">
        <v>344</v>
      </c>
      <c r="B3" s="322"/>
      <c r="C3" s="322"/>
      <c r="D3" s="322"/>
      <c r="E3" s="322"/>
      <c r="F3" s="322"/>
    </row>
    <row r="4" spans="1:6" s="159" customFormat="1" ht="23.25">
      <c r="A4" s="323" t="s">
        <v>26</v>
      </c>
      <c r="B4" s="364" t="s">
        <v>53</v>
      </c>
      <c r="C4" s="364" t="s">
        <v>9</v>
      </c>
      <c r="D4" s="157" t="s">
        <v>328</v>
      </c>
      <c r="E4" s="158" t="s">
        <v>329</v>
      </c>
      <c r="F4" s="364" t="s">
        <v>330</v>
      </c>
    </row>
    <row r="5" spans="1:6" s="159" customFormat="1" ht="23.25">
      <c r="A5" s="363"/>
      <c r="B5" s="365"/>
      <c r="C5" s="365"/>
      <c r="D5" s="160"/>
      <c r="E5" s="161" t="s">
        <v>331</v>
      </c>
      <c r="F5" s="365"/>
    </row>
    <row r="6" spans="1:6" ht="23.25">
      <c r="A6" s="162" t="s">
        <v>223</v>
      </c>
      <c r="B6" s="163"/>
      <c r="C6" s="163"/>
      <c r="D6" s="163"/>
      <c r="E6" s="163"/>
      <c r="F6" s="163"/>
    </row>
    <row r="7" spans="1:6" ht="23.25">
      <c r="A7" s="164" t="s">
        <v>332</v>
      </c>
      <c r="B7" s="102">
        <f>2187120+580800+163360+480+182040+8457-8457+1800-1800-2270-5450+8820-8820-3780+1920-1920-1260</f>
        <v>3101040</v>
      </c>
      <c r="C7" s="102">
        <f aca="true" t="shared" si="0" ref="C7:C18">SUM(D7:F7)</f>
        <v>2721175</v>
      </c>
      <c r="D7" s="102">
        <f>438360+1055730+600309+41689+17277+42000+68760-8250</f>
        <v>2255875</v>
      </c>
      <c r="E7" s="102">
        <v>0</v>
      </c>
      <c r="F7" s="102">
        <f>436430+26150+3720-1000</f>
        <v>465300</v>
      </c>
    </row>
    <row r="8" spans="1:6" ht="23.25">
      <c r="A8" s="164" t="s">
        <v>333</v>
      </c>
      <c r="B8" s="102">
        <f>105120+1260</f>
        <v>106380</v>
      </c>
      <c r="C8" s="102">
        <f t="shared" si="0"/>
        <v>106380</v>
      </c>
      <c r="D8" s="102">
        <v>0</v>
      </c>
      <c r="E8" s="102">
        <v>0</v>
      </c>
      <c r="F8" s="102">
        <f>88380+18000</f>
        <v>106380</v>
      </c>
    </row>
    <row r="9" spans="1:9" ht="23.25">
      <c r="A9" s="164" t="s">
        <v>334</v>
      </c>
      <c r="B9" s="102">
        <f>184200+3780</f>
        <v>187980</v>
      </c>
      <c r="C9" s="102">
        <f t="shared" si="0"/>
        <v>187980</v>
      </c>
      <c r="D9" s="102">
        <f>151980+36000</f>
        <v>187980</v>
      </c>
      <c r="E9" s="102">
        <v>0</v>
      </c>
      <c r="F9" s="102">
        <v>0</v>
      </c>
      <c r="H9" s="96"/>
      <c r="I9" s="96"/>
    </row>
    <row r="10" spans="1:9" ht="23.25">
      <c r="A10" s="164" t="s">
        <v>335</v>
      </c>
      <c r="B10" s="102">
        <f>345260+203020-1500-15000</f>
        <v>531780</v>
      </c>
      <c r="C10" s="102">
        <f t="shared" si="0"/>
        <v>472781.5</v>
      </c>
      <c r="D10" s="102">
        <f>19600+23876.5+10725+235260</f>
        <v>289461.5</v>
      </c>
      <c r="E10" s="102">
        <v>0</v>
      </c>
      <c r="F10" s="102">
        <f>14800+157020+11500</f>
        <v>183320</v>
      </c>
      <c r="H10" s="96"/>
      <c r="I10" s="96"/>
    </row>
    <row r="11" spans="1:9" ht="23.25">
      <c r="A11" s="164" t="s">
        <v>336</v>
      </c>
      <c r="B11" s="102">
        <f>300000+105000+100000+50000+15000+2270</f>
        <v>572270</v>
      </c>
      <c r="C11" s="102">
        <f t="shared" si="0"/>
        <v>419265</v>
      </c>
      <c r="D11" s="102">
        <f>206830+43820+13250+14265+72290</f>
        <v>350455</v>
      </c>
      <c r="E11" s="102">
        <v>0</v>
      </c>
      <c r="F11" s="102">
        <f>31400+5200+22270+9940</f>
        <v>68810</v>
      </c>
      <c r="H11" s="96"/>
      <c r="I11" s="96"/>
    </row>
    <row r="12" spans="1:9" ht="23.25">
      <c r="A12" s="164" t="s">
        <v>337</v>
      </c>
      <c r="B12" s="102">
        <f>115000+40000+5450-2371</f>
        <v>158079</v>
      </c>
      <c r="C12" s="102">
        <f t="shared" si="0"/>
        <v>107425</v>
      </c>
      <c r="D12" s="102">
        <f>30403+25820+1875+9915</f>
        <v>68013</v>
      </c>
      <c r="E12" s="102">
        <v>0</v>
      </c>
      <c r="F12" s="102">
        <f>13962+25450</f>
        <v>39412</v>
      </c>
      <c r="H12" s="95"/>
      <c r="I12" s="95"/>
    </row>
    <row r="13" spans="1:6" ht="23.25">
      <c r="A13" s="164" t="s">
        <v>338</v>
      </c>
      <c r="B13" s="102">
        <f>128612+1500+2371</f>
        <v>132483</v>
      </c>
      <c r="C13" s="102">
        <f>SUM(D13:F13)</f>
        <v>114913.94</v>
      </c>
      <c r="D13" s="102">
        <f>52370.61+5240+10078.33+4853+42372</f>
        <v>114913.94</v>
      </c>
      <c r="E13" s="102">
        <v>0</v>
      </c>
      <c r="F13" s="102">
        <v>0</v>
      </c>
    </row>
    <row r="14" spans="1:6" ht="23.25">
      <c r="A14" s="164" t="s">
        <v>339</v>
      </c>
      <c r="B14" s="102">
        <v>0</v>
      </c>
      <c r="C14" s="102">
        <f t="shared" si="0"/>
        <v>0</v>
      </c>
      <c r="D14" s="102">
        <v>0</v>
      </c>
      <c r="E14" s="102">
        <v>0</v>
      </c>
      <c r="F14" s="102">
        <v>0</v>
      </c>
    </row>
    <row r="15" spans="1:6" ht="23.25">
      <c r="A15" s="164" t="s">
        <v>340</v>
      </c>
      <c r="B15" s="102">
        <v>20000</v>
      </c>
      <c r="C15" s="102">
        <f t="shared" si="0"/>
        <v>20000</v>
      </c>
      <c r="D15" s="102">
        <v>20000</v>
      </c>
      <c r="E15" s="102">
        <v>0</v>
      </c>
      <c r="F15" s="102">
        <v>0</v>
      </c>
    </row>
    <row r="16" spans="1:6" ht="23.25">
      <c r="A16" s="164" t="s">
        <v>341</v>
      </c>
      <c r="B16" s="102">
        <v>0</v>
      </c>
      <c r="C16" s="102">
        <f t="shared" si="0"/>
        <v>0</v>
      </c>
      <c r="D16" s="102">
        <v>0</v>
      </c>
      <c r="E16" s="102">
        <v>0</v>
      </c>
      <c r="F16" s="102">
        <v>0</v>
      </c>
    </row>
    <row r="17" spans="1:6" ht="23.25">
      <c r="A17" s="164" t="s">
        <v>342</v>
      </c>
      <c r="B17" s="102">
        <f>788000+32000</f>
        <v>820000</v>
      </c>
      <c r="C17" s="102">
        <f t="shared" si="0"/>
        <v>773430</v>
      </c>
      <c r="D17" s="102">
        <f>5000+9430+28000+699000</f>
        <v>741430</v>
      </c>
      <c r="E17" s="102">
        <v>0</v>
      </c>
      <c r="F17" s="102">
        <f>24000+8000</f>
        <v>32000</v>
      </c>
    </row>
    <row r="18" spans="1:6" ht="23.25">
      <c r="A18" s="165" t="s">
        <v>343</v>
      </c>
      <c r="B18" s="166">
        <v>0</v>
      </c>
      <c r="C18" s="102">
        <f t="shared" si="0"/>
        <v>0</v>
      </c>
      <c r="D18" s="166">
        <v>0</v>
      </c>
      <c r="E18" s="166">
        <v>0</v>
      </c>
      <c r="F18" s="166">
        <v>0</v>
      </c>
    </row>
    <row r="19" spans="1:6" s="159" customFormat="1" ht="23.25">
      <c r="A19" s="167" t="s">
        <v>9</v>
      </c>
      <c r="B19" s="103">
        <f>SUM(B7:B18)</f>
        <v>5630012</v>
      </c>
      <c r="C19" s="103">
        <f>SUM(C7:C18)</f>
        <v>4923350.4399999995</v>
      </c>
      <c r="D19" s="103">
        <f>SUM(D7:D18)</f>
        <v>4028128.44</v>
      </c>
      <c r="E19" s="103">
        <f>SUM(E7:E18)</f>
        <v>0</v>
      </c>
      <c r="F19" s="103">
        <f>SUM(F7:F18)</f>
        <v>895222</v>
      </c>
    </row>
    <row r="20" ht="13.5" customHeight="1"/>
    <row r="21" spans="1:7" ht="23.25">
      <c r="A21" s="328" t="s">
        <v>243</v>
      </c>
      <c r="B21" s="328"/>
      <c r="C21" s="329" t="s">
        <v>244</v>
      </c>
      <c r="D21" s="329"/>
      <c r="E21" s="329" t="s">
        <v>244</v>
      </c>
      <c r="F21" s="329"/>
      <c r="G21" s="191"/>
    </row>
    <row r="23" spans="1:7" ht="23.25">
      <c r="A23" s="328" t="s">
        <v>241</v>
      </c>
      <c r="B23" s="328"/>
      <c r="C23" s="329" t="s">
        <v>242</v>
      </c>
      <c r="D23" s="329"/>
      <c r="E23" s="329" t="s">
        <v>289</v>
      </c>
      <c r="F23" s="329"/>
      <c r="G23" s="191"/>
    </row>
    <row r="24" spans="1:7" ht="23.25">
      <c r="A24" s="328" t="s">
        <v>11</v>
      </c>
      <c r="B24" s="328"/>
      <c r="C24" s="329" t="s">
        <v>12</v>
      </c>
      <c r="D24" s="329"/>
      <c r="E24" s="329" t="s">
        <v>290</v>
      </c>
      <c r="F24" s="329"/>
      <c r="G24" s="191"/>
    </row>
    <row r="25" spans="5:7" ht="23.25">
      <c r="E25" s="329"/>
      <c r="F25" s="329"/>
      <c r="G25" s="329"/>
    </row>
  </sheetData>
  <mergeCells count="17">
    <mergeCell ref="A1:F1"/>
    <mergeCell ref="A2:F2"/>
    <mergeCell ref="A3:F3"/>
    <mergeCell ref="A4:A5"/>
    <mergeCell ref="B4:B5"/>
    <mergeCell ref="C4:C5"/>
    <mergeCell ref="F4:F5"/>
    <mergeCell ref="E25:G25"/>
    <mergeCell ref="E24:F24"/>
    <mergeCell ref="C21:D21"/>
    <mergeCell ref="A23:B23"/>
    <mergeCell ref="C23:D23"/>
    <mergeCell ref="A24:B24"/>
    <mergeCell ref="C24:D24"/>
    <mergeCell ref="E21:F21"/>
    <mergeCell ref="E23:F23"/>
    <mergeCell ref="A21:B2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B1">
      <selection activeCell="B11" sqref="B11"/>
    </sheetView>
  </sheetViews>
  <sheetFormatPr defaultColWidth="9.140625" defaultRowHeight="12.75"/>
  <cols>
    <col min="1" max="1" width="26.140625" style="49" customWidth="1"/>
    <col min="2" max="2" width="15.140625" style="96" customWidth="1"/>
    <col min="3" max="3" width="14.421875" style="96" customWidth="1"/>
    <col min="4" max="4" width="18.8515625" style="96" customWidth="1"/>
    <col min="5" max="5" width="19.7109375" style="96" customWidth="1"/>
    <col min="6" max="6" width="20.421875" style="96" customWidth="1"/>
    <col min="7" max="7" width="23.7109375" style="96" customWidth="1"/>
    <col min="8" max="16384" width="9.140625" style="49" customWidth="1"/>
  </cols>
  <sheetData>
    <row r="1" spans="1:7" ht="23.25">
      <c r="A1" s="321" t="s">
        <v>245</v>
      </c>
      <c r="B1" s="321"/>
      <c r="C1" s="321"/>
      <c r="D1" s="321"/>
      <c r="E1" s="321"/>
      <c r="F1" s="321"/>
      <c r="G1" s="321"/>
    </row>
    <row r="2" spans="1:7" ht="23.25">
      <c r="A2" s="321" t="s">
        <v>345</v>
      </c>
      <c r="B2" s="321"/>
      <c r="C2" s="321"/>
      <c r="D2" s="321"/>
      <c r="E2" s="321"/>
      <c r="F2" s="321"/>
      <c r="G2" s="321"/>
    </row>
    <row r="3" spans="1:7" ht="23.25">
      <c r="A3" s="322" t="s">
        <v>344</v>
      </c>
      <c r="B3" s="322"/>
      <c r="C3" s="322"/>
      <c r="D3" s="322"/>
      <c r="E3" s="322"/>
      <c r="F3" s="322"/>
      <c r="G3" s="322"/>
    </row>
    <row r="4" spans="1:7" s="159" customFormat="1" ht="23.25">
      <c r="A4" s="323" t="s">
        <v>26</v>
      </c>
      <c r="B4" s="364" t="s">
        <v>53</v>
      </c>
      <c r="C4" s="364" t="s">
        <v>9</v>
      </c>
      <c r="D4" s="157" t="s">
        <v>328</v>
      </c>
      <c r="E4" s="158" t="s">
        <v>346</v>
      </c>
      <c r="F4" s="364" t="s">
        <v>347</v>
      </c>
      <c r="G4" s="364" t="s">
        <v>348</v>
      </c>
    </row>
    <row r="5" spans="1:7" s="159" customFormat="1" ht="23.25">
      <c r="A5" s="363"/>
      <c r="B5" s="365"/>
      <c r="C5" s="365"/>
      <c r="D5" s="160" t="s">
        <v>349</v>
      </c>
      <c r="E5" s="161" t="s">
        <v>350</v>
      </c>
      <c r="F5" s="365"/>
      <c r="G5" s="365"/>
    </row>
    <row r="6" spans="1:7" ht="23.25">
      <c r="A6" s="162" t="s">
        <v>223</v>
      </c>
      <c r="B6" s="163"/>
      <c r="C6" s="163"/>
      <c r="D6" s="163"/>
      <c r="E6" s="163"/>
      <c r="F6" s="163"/>
      <c r="G6" s="163"/>
    </row>
    <row r="7" spans="1:7" ht="23.25">
      <c r="A7" s="164" t="s">
        <v>332</v>
      </c>
      <c r="B7" s="102">
        <f>150720+3000+3180+500</f>
        <v>157400</v>
      </c>
      <c r="C7" s="102">
        <f>SUM(D7:G7)</f>
        <v>143100</v>
      </c>
      <c r="D7" s="102">
        <f>133220+7100+6180-3400</f>
        <v>143100</v>
      </c>
      <c r="E7" s="102">
        <v>0</v>
      </c>
      <c r="F7" s="102">
        <v>0</v>
      </c>
      <c r="G7" s="102">
        <v>0</v>
      </c>
    </row>
    <row r="8" spans="1:7" ht="23.25">
      <c r="A8" s="164" t="s">
        <v>333</v>
      </c>
      <c r="B8" s="102">
        <v>0</v>
      </c>
      <c r="C8" s="102">
        <f aca="true" t="shared" si="0" ref="C8:C18">SUM(D8:G8)</f>
        <v>0</v>
      </c>
      <c r="D8" s="102">
        <v>0</v>
      </c>
      <c r="E8" s="102">
        <v>0</v>
      </c>
      <c r="F8" s="102">
        <v>0</v>
      </c>
      <c r="G8" s="102">
        <v>0</v>
      </c>
    </row>
    <row r="9" spans="1:7" ht="23.25">
      <c r="A9" s="164" t="s">
        <v>334</v>
      </c>
      <c r="B9" s="102">
        <f>196800-3000-3180-500</f>
        <v>190120</v>
      </c>
      <c r="C9" s="102">
        <f t="shared" si="0"/>
        <v>3960</v>
      </c>
      <c r="D9" s="102"/>
      <c r="E9" s="102">
        <v>3960</v>
      </c>
      <c r="F9" s="102">
        <v>0</v>
      </c>
      <c r="G9" s="102">
        <v>0</v>
      </c>
    </row>
    <row r="10" spans="1:7" ht="23.25">
      <c r="A10" s="164" t="s">
        <v>335</v>
      </c>
      <c r="B10" s="102">
        <v>109250</v>
      </c>
      <c r="C10" s="102">
        <f t="shared" si="0"/>
        <v>95015</v>
      </c>
      <c r="D10" s="102">
        <v>95015</v>
      </c>
      <c r="E10" s="102">
        <v>0</v>
      </c>
      <c r="F10" s="102">
        <v>0</v>
      </c>
      <c r="G10" s="102">
        <v>0</v>
      </c>
    </row>
    <row r="11" spans="1:7" ht="23.25">
      <c r="A11" s="164" t="s">
        <v>336</v>
      </c>
      <c r="B11" s="102">
        <f>30000+10000+50000+50000+15000+20000+6000+138320+22800+380+6600</f>
        <v>349100</v>
      </c>
      <c r="C11" s="102">
        <f t="shared" si="0"/>
        <v>221601</v>
      </c>
      <c r="D11" s="102">
        <f>25140+2610+7000+15440+49990</f>
        <v>100180</v>
      </c>
      <c r="E11" s="102">
        <f>106626+14795</f>
        <v>121421</v>
      </c>
      <c r="F11" s="102">
        <v>0</v>
      </c>
      <c r="G11" s="102">
        <v>0</v>
      </c>
    </row>
    <row r="12" spans="1:7" ht="23.25">
      <c r="A12" s="164" t="s">
        <v>337</v>
      </c>
      <c r="B12" s="102">
        <v>909358</v>
      </c>
      <c r="C12" s="102">
        <f t="shared" si="0"/>
        <v>844600.7999999999</v>
      </c>
      <c r="D12" s="102">
        <v>15515</v>
      </c>
      <c r="E12" s="102">
        <f>9980+726684.2+64021.6</f>
        <v>800685.7999999999</v>
      </c>
      <c r="F12" s="102">
        <v>0</v>
      </c>
      <c r="G12" s="102">
        <v>28400</v>
      </c>
    </row>
    <row r="13" spans="1:7" ht="23.25">
      <c r="A13" s="164" t="s">
        <v>338</v>
      </c>
      <c r="B13" s="102">
        <v>0</v>
      </c>
      <c r="C13" s="102">
        <f t="shared" si="0"/>
        <v>0</v>
      </c>
      <c r="D13" s="102">
        <v>0</v>
      </c>
      <c r="E13" s="102">
        <v>0</v>
      </c>
      <c r="F13" s="102">
        <v>0</v>
      </c>
      <c r="G13" s="102">
        <v>0</v>
      </c>
    </row>
    <row r="14" spans="1:7" ht="23.25">
      <c r="A14" s="164" t="s">
        <v>339</v>
      </c>
      <c r="B14" s="102">
        <f>1058200+30000</f>
        <v>1088200</v>
      </c>
      <c r="C14" s="102">
        <f t="shared" si="0"/>
        <v>1056688</v>
      </c>
      <c r="D14" s="102">
        <v>0</v>
      </c>
      <c r="E14" s="102">
        <v>1056688</v>
      </c>
      <c r="F14" s="102">
        <v>0</v>
      </c>
      <c r="G14" s="102">
        <v>0</v>
      </c>
    </row>
    <row r="15" spans="1:7" ht="23.25">
      <c r="A15" s="164" t="s">
        <v>340</v>
      </c>
      <c r="B15" s="102">
        <v>0</v>
      </c>
      <c r="C15" s="102">
        <f t="shared" si="0"/>
        <v>0</v>
      </c>
      <c r="D15" s="102">
        <v>0</v>
      </c>
      <c r="E15" s="102">
        <v>0</v>
      </c>
      <c r="F15" s="102">
        <v>0</v>
      </c>
      <c r="G15" s="102">
        <v>0</v>
      </c>
    </row>
    <row r="16" spans="1:7" ht="23.25">
      <c r="A16" s="164" t="s">
        <v>341</v>
      </c>
      <c r="B16" s="102">
        <v>0</v>
      </c>
      <c r="C16" s="102">
        <f t="shared" si="0"/>
        <v>0</v>
      </c>
      <c r="D16" s="102">
        <v>0</v>
      </c>
      <c r="E16" s="102">
        <v>0</v>
      </c>
      <c r="F16" s="102">
        <v>0</v>
      </c>
      <c r="G16" s="102">
        <v>0</v>
      </c>
    </row>
    <row r="17" spans="1:7" ht="23.25">
      <c r="A17" s="164" t="s">
        <v>342</v>
      </c>
      <c r="B17" s="102">
        <v>8780</v>
      </c>
      <c r="C17" s="102">
        <f t="shared" si="0"/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ht="23.25">
      <c r="A18" s="165" t="s">
        <v>343</v>
      </c>
      <c r="B18" s="166">
        <v>70000</v>
      </c>
      <c r="C18" s="102">
        <f t="shared" si="0"/>
        <v>0</v>
      </c>
      <c r="D18" s="166">
        <v>0</v>
      </c>
      <c r="E18" s="166">
        <v>0</v>
      </c>
      <c r="F18" s="166">
        <v>0</v>
      </c>
      <c r="G18" s="166">
        <v>0</v>
      </c>
    </row>
    <row r="19" spans="1:7" s="159" customFormat="1" ht="23.25">
      <c r="A19" s="167" t="s">
        <v>9</v>
      </c>
      <c r="B19" s="103">
        <f aca="true" t="shared" si="1" ref="B19:G19">SUM(B7:B18)</f>
        <v>2882208</v>
      </c>
      <c r="C19" s="103">
        <f t="shared" si="1"/>
        <v>2364964.8</v>
      </c>
      <c r="D19" s="103">
        <f t="shared" si="1"/>
        <v>353810</v>
      </c>
      <c r="E19" s="103">
        <f t="shared" si="1"/>
        <v>1982754.7999999998</v>
      </c>
      <c r="F19" s="103">
        <f t="shared" si="1"/>
        <v>0</v>
      </c>
      <c r="G19" s="103">
        <f t="shared" si="1"/>
        <v>28400</v>
      </c>
    </row>
    <row r="20" ht="9" customHeight="1"/>
    <row r="21" spans="1:7" ht="23.25">
      <c r="A21" s="328" t="s">
        <v>243</v>
      </c>
      <c r="B21" s="328"/>
      <c r="C21" s="329" t="s">
        <v>244</v>
      </c>
      <c r="D21" s="329"/>
      <c r="E21" s="329"/>
      <c r="F21" s="329" t="s">
        <v>244</v>
      </c>
      <c r="G21" s="329"/>
    </row>
    <row r="23" spans="1:7" ht="23.25">
      <c r="A23" s="328" t="s">
        <v>241</v>
      </c>
      <c r="B23" s="328"/>
      <c r="C23" s="329" t="s">
        <v>242</v>
      </c>
      <c r="D23" s="329"/>
      <c r="E23" s="329"/>
      <c r="F23" s="329" t="s">
        <v>289</v>
      </c>
      <c r="G23" s="329"/>
    </row>
    <row r="24" spans="1:7" ht="23.25">
      <c r="A24" s="328" t="s">
        <v>11</v>
      </c>
      <c r="B24" s="328"/>
      <c r="C24" s="329" t="s">
        <v>12</v>
      </c>
      <c r="D24" s="329"/>
      <c r="E24" s="329"/>
      <c r="F24" s="329" t="s">
        <v>290</v>
      </c>
      <c r="G24" s="329"/>
    </row>
    <row r="25" spans="6:7" ht="23.25">
      <c r="F25" s="329"/>
      <c r="G25" s="329"/>
    </row>
  </sheetData>
  <mergeCells count="18">
    <mergeCell ref="A1:G1"/>
    <mergeCell ref="A2:G2"/>
    <mergeCell ref="A3:G3"/>
    <mergeCell ref="A4:A5"/>
    <mergeCell ref="B4:B5"/>
    <mergeCell ref="C4:C5"/>
    <mergeCell ref="F4:F5"/>
    <mergeCell ref="G4:G5"/>
    <mergeCell ref="A21:B21"/>
    <mergeCell ref="C21:E21"/>
    <mergeCell ref="F21:G21"/>
    <mergeCell ref="A23:B23"/>
    <mergeCell ref="C23:E23"/>
    <mergeCell ref="F23:G23"/>
    <mergeCell ref="A24:B24"/>
    <mergeCell ref="C24:E24"/>
    <mergeCell ref="F24:G24"/>
    <mergeCell ref="F25:G2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NISA  SODA</dc:creator>
  <cp:keywords/>
  <dc:description/>
  <cp:lastModifiedBy>IT</cp:lastModifiedBy>
  <cp:lastPrinted>2011-11-16T09:07:10Z</cp:lastPrinted>
  <dcterms:created xsi:type="dcterms:W3CDTF">2005-08-29T08:20:36Z</dcterms:created>
  <dcterms:modified xsi:type="dcterms:W3CDTF">2011-11-16T09:08:41Z</dcterms:modified>
  <cp:category/>
  <cp:version/>
  <cp:contentType/>
  <cp:contentStatus/>
</cp:coreProperties>
</file>